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updateLinks="never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WWW\1E-Energie\1.2Energiewende\"/>
    </mc:Choice>
  </mc:AlternateContent>
  <xr:revisionPtr revIDLastSave="0" documentId="13_ncr:1_{9AAED9CD-059A-452E-B72B-B99B03731FE6}" xr6:coauthVersionLast="43" xr6:coauthVersionMax="43" xr10:uidLastSave="{00000000-0000-0000-0000-000000000000}"/>
  <bookViews>
    <workbookView showHorizontalScroll="0" xWindow="-120" yWindow="-120" windowWidth="28110" windowHeight="16440" xr2:uid="{00000000-000D-0000-FFFF-FFFF00000000}"/>
  </bookViews>
  <sheets>
    <sheet name="P&amp;W (2)" sheetId="7" r:id="rId1"/>
  </sheets>
  <externalReferences>
    <externalReference r:id="rId2"/>
    <externalReference r:id="rId3"/>
  </externalReferences>
  <definedNames>
    <definedName name="Arbeitstage">[1]RiedelTab!$F$18</definedName>
    <definedName name="Grundschw">#REF!</definedName>
    <definedName name="OS_gerade">#REF!</definedName>
    <definedName name="OS_gesamt">#REF!</definedName>
    <definedName name="OS_ungerade">#REF!</definedName>
    <definedName name="Schichtdauer">[1]RiedelTab!$F$19</definedName>
    <definedName name="Schichten">[1]RiedelTab!$F$20</definedName>
    <definedName name="StrompreisRiedel">[1]RiedelTab!$F$17</definedName>
    <definedName name="Z_F3EBDD22_812C_4961_BC1F_0118FAEB2379_.wvu.Cols" localSheetId="0" hidden="1">'P&amp;W (2)'!$M:$M</definedName>
  </definedNames>
  <calcPr calcId="191029"/>
  <customWorkbookViews>
    <customWorkbookView name="kurz_Wende" guid="{C285CF98-2A1B-4B7A-90FC-988A5EC3263A}" maximized="1" showHorizontalScroll="0" xWindow="-8" yWindow="-8" windowWidth="1874" windowHeight="1096" activeSheetId="17"/>
    <customWorkbookView name="Gas" guid="{8F2A141C-F2EC-47C9-B452-E771E2E1656F}" maximized="1" showHorizontalScroll="0" xWindow="-8" yWindow="-8" windowWidth="1843" windowHeight="1096" activeSheetId="30"/>
    <customWorkbookView name="P&amp;W" guid="{F3EBDD22-812C-4961-BC1F-0118FAEB2379}" maximized="1" showHorizontalScroll="0" xWindow="-8" yWindow="-8" windowWidth="1843" windowHeight="1096" activeSheetId="6"/>
    <customWorkbookView name="schmal" guid="{DD3E2C27-0DB8-470F-92C5-06627B82099E}" maximized="1" showHorizontalScroll="0" windowWidth="1841" windowHeight="866" activeSheetId="10"/>
    <customWorkbookView name="De" guid="{F1BBCF9D-4AE4-4256-BC28-7BF87292F8F0}" maximized="1" windowWidth="1841" windowHeight="866" activeSheetId="2"/>
    <customWorkbookView name="En" guid="{F2ECF08F-0049-4D0A-91CE-D2839A8368F5}" maximized="1" windowWidth="1841" windowHeight="866" activeSheetId="2"/>
    <customWorkbookView name="normal" guid="{8FE70AE2-ACAA-41EC-8F6A-9C68C57FA765}" maximized="1" windowWidth="1841" windowHeight="866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7" l="1"/>
  <c r="I4" i="7"/>
  <c r="D5" i="7"/>
  <c r="H5" i="7"/>
  <c r="K5" i="7"/>
  <c r="L5" i="7"/>
  <c r="E6" i="7"/>
  <c r="I6" i="7"/>
  <c r="K6" i="7"/>
  <c r="I7" i="7"/>
  <c r="K7" i="7"/>
  <c r="K8" i="7"/>
  <c r="E9" i="7"/>
  <c r="K9" i="7"/>
  <c r="E10" i="7"/>
  <c r="I10" i="7"/>
  <c r="K10" i="7"/>
  <c r="I11" i="7"/>
  <c r="K11" i="7"/>
  <c r="E12" i="7"/>
  <c r="D13" i="7"/>
  <c r="E13" i="7"/>
  <c r="H13" i="7"/>
  <c r="L13" i="7" s="1"/>
  <c r="I13" i="7"/>
  <c r="K13" i="7"/>
  <c r="K14" i="7"/>
  <c r="K15" i="7"/>
  <c r="I16" i="7"/>
  <c r="K16" i="7"/>
  <c r="I17" i="7"/>
  <c r="C20" i="7"/>
  <c r="E18" i="7" s="1"/>
  <c r="G20" i="7"/>
  <c r="I19" i="7" s="1"/>
  <c r="B22" i="7"/>
  <c r="C23" i="7"/>
  <c r="G23" i="7"/>
  <c r="K23" i="7"/>
  <c r="C24" i="7"/>
  <c r="E24" i="7"/>
  <c r="G24" i="7"/>
  <c r="I24" i="7"/>
  <c r="K24" i="7"/>
  <c r="L24" i="7"/>
  <c r="B25" i="7"/>
  <c r="D25" i="7"/>
  <c r="H25" i="7"/>
  <c r="L25" i="7" s="1"/>
  <c r="K25" i="7"/>
  <c r="B26" i="7"/>
  <c r="K26" i="7"/>
  <c r="B27" i="7"/>
  <c r="K27" i="7"/>
  <c r="B28" i="7"/>
  <c r="E28" i="7"/>
  <c r="K28" i="7"/>
  <c r="B29" i="7"/>
  <c r="K29" i="7"/>
  <c r="B30" i="7"/>
  <c r="K30" i="7"/>
  <c r="B31" i="7"/>
  <c r="E31" i="7"/>
  <c r="K31" i="7"/>
  <c r="B32" i="7"/>
  <c r="E32" i="7"/>
  <c r="B33" i="7"/>
  <c r="D33" i="7"/>
  <c r="H33" i="7"/>
  <c r="L33" i="7" s="1"/>
  <c r="K33" i="7"/>
  <c r="B34" i="7"/>
  <c r="K34" i="7"/>
  <c r="B35" i="7"/>
  <c r="K35" i="7"/>
  <c r="B36" i="7"/>
  <c r="E36" i="7"/>
  <c r="K36" i="7"/>
  <c r="B37" i="7"/>
  <c r="G37" i="7"/>
  <c r="G40" i="7" s="1"/>
  <c r="B38" i="7"/>
  <c r="B39" i="7"/>
  <c r="B40" i="7"/>
  <c r="C40" i="7"/>
  <c r="E26" i="7" s="1"/>
  <c r="B42" i="7"/>
  <c r="C43" i="7"/>
  <c r="G43" i="7"/>
  <c r="K43" i="7"/>
  <c r="C44" i="7"/>
  <c r="E44" i="7"/>
  <c r="G44" i="7"/>
  <c r="I44" i="7"/>
  <c r="K44" i="7"/>
  <c r="L44" i="7"/>
  <c r="B45" i="7"/>
  <c r="C45" i="7"/>
  <c r="C60" i="7" s="1"/>
  <c r="H45" i="7"/>
  <c r="I45" i="7"/>
  <c r="K45" i="7"/>
  <c r="B46" i="7"/>
  <c r="C46" i="7"/>
  <c r="E46" i="7" s="1"/>
  <c r="I46" i="7"/>
  <c r="K46" i="7"/>
  <c r="B47" i="7"/>
  <c r="C47" i="7"/>
  <c r="E47" i="7" s="1"/>
  <c r="I47" i="7"/>
  <c r="B48" i="7"/>
  <c r="C48" i="7"/>
  <c r="K48" i="7" s="1"/>
  <c r="B49" i="7"/>
  <c r="C49" i="7"/>
  <c r="K49" i="7" s="1"/>
  <c r="B50" i="7"/>
  <c r="C50" i="7"/>
  <c r="I50" i="7"/>
  <c r="K50" i="7"/>
  <c r="B51" i="7"/>
  <c r="C51" i="7"/>
  <c r="K51" i="7"/>
  <c r="B52" i="7"/>
  <c r="E52" i="7"/>
  <c r="I52" i="7"/>
  <c r="B53" i="7"/>
  <c r="C53" i="7"/>
  <c r="K53" i="7" s="1"/>
  <c r="D53" i="7"/>
  <c r="L53" i="7" s="1"/>
  <c r="H53" i="7"/>
  <c r="I53" i="7"/>
  <c r="B54" i="7"/>
  <c r="K54" i="7"/>
  <c r="B55" i="7"/>
  <c r="K55" i="7"/>
  <c r="B56" i="7"/>
  <c r="K56" i="7"/>
  <c r="B57" i="7"/>
  <c r="I57" i="7"/>
  <c r="B58" i="7"/>
  <c r="B59" i="7"/>
  <c r="I59" i="7"/>
  <c r="B60" i="7"/>
  <c r="G60" i="7"/>
  <c r="I48" i="7" s="1"/>
  <c r="B62" i="7"/>
  <c r="C63" i="7"/>
  <c r="G63" i="7"/>
  <c r="K63" i="7"/>
  <c r="C64" i="7"/>
  <c r="E64" i="7"/>
  <c r="G64" i="7"/>
  <c r="I64" i="7"/>
  <c r="K64" i="7"/>
  <c r="L64" i="7"/>
  <c r="B65" i="7"/>
  <c r="C65" i="7"/>
  <c r="H65" i="7"/>
  <c r="I65" i="7"/>
  <c r="K65" i="7"/>
  <c r="B66" i="7"/>
  <c r="C66" i="7"/>
  <c r="K66" i="7"/>
  <c r="B67" i="7"/>
  <c r="C67" i="7"/>
  <c r="I67" i="7"/>
  <c r="K67" i="7"/>
  <c r="B68" i="7"/>
  <c r="C68" i="7"/>
  <c r="K68" i="7"/>
  <c r="B69" i="7"/>
  <c r="C69" i="7"/>
  <c r="K69" i="7"/>
  <c r="B70" i="7"/>
  <c r="C70" i="7"/>
  <c r="B71" i="7"/>
  <c r="C71" i="7"/>
  <c r="K71" i="7"/>
  <c r="B72" i="7"/>
  <c r="E72" i="7"/>
  <c r="I72" i="7"/>
  <c r="B73" i="7"/>
  <c r="C73" i="7"/>
  <c r="D73" i="7" s="1"/>
  <c r="H73" i="7"/>
  <c r="L73" i="7" s="1"/>
  <c r="K73" i="7"/>
  <c r="B74" i="7"/>
  <c r="I74" i="7"/>
  <c r="K74" i="7"/>
  <c r="B75" i="7"/>
  <c r="K75" i="7"/>
  <c r="B76" i="7"/>
  <c r="K76" i="7"/>
  <c r="I77" i="7"/>
  <c r="B78" i="7"/>
  <c r="K78" i="7"/>
  <c r="B79" i="7"/>
  <c r="B80" i="7"/>
  <c r="G80" i="7"/>
  <c r="I78" i="7" s="1"/>
  <c r="B82" i="7"/>
  <c r="C83" i="7"/>
  <c r="G83" i="7"/>
  <c r="K83" i="7"/>
  <c r="C84" i="7"/>
  <c r="E84" i="7"/>
  <c r="G84" i="7"/>
  <c r="I84" i="7"/>
  <c r="K84" i="7"/>
  <c r="L84" i="7"/>
  <c r="B85" i="7"/>
  <c r="D85" i="7"/>
  <c r="L85" i="7" s="1"/>
  <c r="E85" i="7"/>
  <c r="H85" i="7"/>
  <c r="K85" i="7"/>
  <c r="B86" i="7"/>
  <c r="I86" i="7"/>
  <c r="K86" i="7"/>
  <c r="B87" i="7"/>
  <c r="E87" i="7"/>
  <c r="I87" i="7"/>
  <c r="K87" i="7"/>
  <c r="B88" i="7"/>
  <c r="E88" i="7"/>
  <c r="K88" i="7"/>
  <c r="B89" i="7"/>
  <c r="I89" i="7"/>
  <c r="K89" i="7"/>
  <c r="B90" i="7"/>
  <c r="E90" i="7"/>
  <c r="I90" i="7"/>
  <c r="K90" i="7"/>
  <c r="B91" i="7"/>
  <c r="E91" i="7"/>
  <c r="K91" i="7"/>
  <c r="B92" i="7"/>
  <c r="E92" i="7"/>
  <c r="I92" i="7"/>
  <c r="B93" i="7"/>
  <c r="D93" i="7"/>
  <c r="E93" i="7"/>
  <c r="H93" i="7"/>
  <c r="K93" i="7"/>
  <c r="B94" i="7"/>
  <c r="K94" i="7"/>
  <c r="B95" i="7"/>
  <c r="E95" i="7"/>
  <c r="I95" i="7"/>
  <c r="K95" i="7"/>
  <c r="B96" i="7"/>
  <c r="K96" i="7"/>
  <c r="B97" i="7"/>
  <c r="B98" i="7"/>
  <c r="I98" i="7"/>
  <c r="K98" i="7"/>
  <c r="B99" i="7"/>
  <c r="I99" i="7"/>
  <c r="B100" i="7"/>
  <c r="C100" i="7"/>
  <c r="E96" i="7" s="1"/>
  <c r="G100" i="7"/>
  <c r="I85" i="7" s="1"/>
  <c r="B102" i="7"/>
  <c r="C103" i="7"/>
  <c r="G103" i="7"/>
  <c r="K103" i="7"/>
  <c r="C104" i="7"/>
  <c r="E104" i="7"/>
  <c r="G104" i="7"/>
  <c r="I104" i="7"/>
  <c r="K104" i="7"/>
  <c r="L104" i="7"/>
  <c r="B105" i="7"/>
  <c r="D105" i="7"/>
  <c r="H105" i="7"/>
  <c r="K105" i="7"/>
  <c r="L105" i="7"/>
  <c r="B106" i="7"/>
  <c r="K106" i="7"/>
  <c r="B107" i="7"/>
  <c r="K107" i="7"/>
  <c r="B108" i="7"/>
  <c r="E108" i="7"/>
  <c r="I108" i="7"/>
  <c r="K108" i="7"/>
  <c r="B109" i="7"/>
  <c r="K109" i="7"/>
  <c r="B110" i="7"/>
  <c r="K110" i="7"/>
  <c r="B111" i="7"/>
  <c r="E111" i="7"/>
  <c r="I111" i="7"/>
  <c r="K111" i="7"/>
  <c r="B112" i="7"/>
  <c r="E112" i="7"/>
  <c r="B113" i="7"/>
  <c r="D113" i="7"/>
  <c r="H113" i="7"/>
  <c r="K113" i="7"/>
  <c r="L113" i="7"/>
  <c r="B114" i="7"/>
  <c r="K114" i="7"/>
  <c r="B115" i="7"/>
  <c r="K115" i="7"/>
  <c r="B116" i="7"/>
  <c r="E116" i="7"/>
  <c r="I116" i="7"/>
  <c r="K116" i="7"/>
  <c r="B117" i="7"/>
  <c r="B118" i="7"/>
  <c r="B119" i="7"/>
  <c r="B120" i="7"/>
  <c r="C120" i="7"/>
  <c r="E106" i="7" s="1"/>
  <c r="G120" i="7"/>
  <c r="I117" i="7" s="1"/>
  <c r="K120" i="7"/>
  <c r="B122" i="7"/>
  <c r="C123" i="7"/>
  <c r="G123" i="7"/>
  <c r="K123" i="7"/>
  <c r="C124" i="7"/>
  <c r="E124" i="7"/>
  <c r="G124" i="7"/>
  <c r="I124" i="7"/>
  <c r="K124" i="7"/>
  <c r="L124" i="7"/>
  <c r="B125" i="7"/>
  <c r="D125" i="7"/>
  <c r="H125" i="7"/>
  <c r="K125" i="7"/>
  <c r="B126" i="7"/>
  <c r="I126" i="7"/>
  <c r="K126" i="7"/>
  <c r="B127" i="7"/>
  <c r="K127" i="7"/>
  <c r="B128" i="7"/>
  <c r="K128" i="7"/>
  <c r="B129" i="7"/>
  <c r="I129" i="7"/>
  <c r="K129" i="7"/>
  <c r="C130" i="7"/>
  <c r="G130" i="7"/>
  <c r="I130" i="7"/>
  <c r="B131" i="7"/>
  <c r="K131" i="7"/>
  <c r="B132" i="7"/>
  <c r="E132" i="7"/>
  <c r="I132" i="7"/>
  <c r="B133" i="7"/>
  <c r="D133" i="7"/>
  <c r="H133" i="7"/>
  <c r="I133" i="7"/>
  <c r="K133" i="7"/>
  <c r="L133" i="7"/>
  <c r="I134" i="7"/>
  <c r="K134" i="7"/>
  <c r="K135" i="7"/>
  <c r="B136" i="7"/>
  <c r="I136" i="7"/>
  <c r="K136" i="7"/>
  <c r="B137" i="7"/>
  <c r="K137" i="7"/>
  <c r="B138" i="7"/>
  <c r="B139" i="7"/>
  <c r="B140" i="7"/>
  <c r="G140" i="7"/>
  <c r="I135" i="7" s="1"/>
  <c r="B142" i="7"/>
  <c r="C143" i="7"/>
  <c r="G143" i="7"/>
  <c r="K143" i="7"/>
  <c r="C144" i="7"/>
  <c r="E144" i="7"/>
  <c r="G144" i="7"/>
  <c r="I144" i="7"/>
  <c r="K144" i="7"/>
  <c r="L144" i="7"/>
  <c r="B145" i="7"/>
  <c r="D145" i="7"/>
  <c r="H145" i="7"/>
  <c r="L145" i="7" s="1"/>
  <c r="I145" i="7"/>
  <c r="K145" i="7"/>
  <c r="B146" i="7"/>
  <c r="E146" i="7"/>
  <c r="K146" i="7"/>
  <c r="B147" i="7"/>
  <c r="K147" i="7"/>
  <c r="B148" i="7"/>
  <c r="E148" i="7"/>
  <c r="K148" i="7"/>
  <c r="B149" i="7"/>
  <c r="E149" i="7"/>
  <c r="K149" i="7"/>
  <c r="B150" i="7"/>
  <c r="G150" i="7"/>
  <c r="G160" i="7" s="1"/>
  <c r="K150" i="7"/>
  <c r="B151" i="7"/>
  <c r="K151" i="7"/>
  <c r="B152" i="7"/>
  <c r="E152" i="7"/>
  <c r="B153" i="7"/>
  <c r="D153" i="7"/>
  <c r="E153" i="7"/>
  <c r="H153" i="7"/>
  <c r="L153" i="7" s="1"/>
  <c r="K153" i="7"/>
  <c r="B154" i="7"/>
  <c r="E154" i="7"/>
  <c r="K154" i="7"/>
  <c r="B155" i="7"/>
  <c r="I155" i="7"/>
  <c r="K155" i="7"/>
  <c r="B156" i="7"/>
  <c r="K156" i="7"/>
  <c r="B157" i="7"/>
  <c r="E157" i="7"/>
  <c r="K157" i="7"/>
  <c r="B158" i="7"/>
  <c r="E158" i="7"/>
  <c r="B159" i="7"/>
  <c r="I159" i="7"/>
  <c r="B160" i="7"/>
  <c r="C160" i="7"/>
  <c r="E151" i="7" s="1"/>
  <c r="B162" i="7"/>
  <c r="C163" i="7"/>
  <c r="G163" i="7"/>
  <c r="K163" i="7"/>
  <c r="C164" i="7"/>
  <c r="E164" i="7"/>
  <c r="G164" i="7"/>
  <c r="I164" i="7"/>
  <c r="K164" i="7"/>
  <c r="L164" i="7"/>
  <c r="B165" i="7"/>
  <c r="D165" i="7"/>
  <c r="H165" i="7"/>
  <c r="K165" i="7"/>
  <c r="L165" i="7"/>
  <c r="B166" i="7"/>
  <c r="E166" i="7"/>
  <c r="K166" i="7"/>
  <c r="B167" i="7"/>
  <c r="K167" i="7"/>
  <c r="B168" i="7"/>
  <c r="E168" i="7"/>
  <c r="I168" i="7"/>
  <c r="K168" i="7"/>
  <c r="B169" i="7"/>
  <c r="E169" i="7"/>
  <c r="K169" i="7"/>
  <c r="B170" i="7"/>
  <c r="K170" i="7"/>
  <c r="B171" i="7"/>
  <c r="E171" i="7"/>
  <c r="I171" i="7"/>
  <c r="K171" i="7"/>
  <c r="B172" i="7"/>
  <c r="E172" i="7"/>
  <c r="B173" i="7"/>
  <c r="D173" i="7"/>
  <c r="H173" i="7"/>
  <c r="K173" i="7"/>
  <c r="L173" i="7"/>
  <c r="B174" i="7"/>
  <c r="E174" i="7"/>
  <c r="K174" i="7"/>
  <c r="B175" i="7"/>
  <c r="K175" i="7"/>
  <c r="B176" i="7"/>
  <c r="E176" i="7"/>
  <c r="I176" i="7"/>
  <c r="K176" i="7"/>
  <c r="B177" i="7"/>
  <c r="B178" i="7"/>
  <c r="E178" i="7"/>
  <c r="B179" i="7"/>
  <c r="B180" i="7"/>
  <c r="C180" i="7"/>
  <c r="E165" i="7" s="1"/>
  <c r="G180" i="7"/>
  <c r="K180" i="7" s="1"/>
  <c r="B182" i="7"/>
  <c r="C183" i="7"/>
  <c r="G183" i="7"/>
  <c r="K183" i="7"/>
  <c r="C184" i="7"/>
  <c r="E184" i="7"/>
  <c r="G184" i="7"/>
  <c r="I184" i="7"/>
  <c r="K184" i="7"/>
  <c r="L184" i="7"/>
  <c r="B185" i="7"/>
  <c r="D185" i="7"/>
  <c r="H185" i="7"/>
  <c r="K185" i="7"/>
  <c r="L185" i="7"/>
  <c r="B186" i="7"/>
  <c r="E186" i="7"/>
  <c r="I186" i="7"/>
  <c r="K186" i="7"/>
  <c r="B187" i="7"/>
  <c r="I187" i="7"/>
  <c r="K187" i="7"/>
  <c r="B188" i="7"/>
  <c r="K188" i="7"/>
  <c r="B189" i="7"/>
  <c r="E189" i="7"/>
  <c r="I189" i="7"/>
  <c r="K189" i="7"/>
  <c r="B190" i="7"/>
  <c r="I190" i="7"/>
  <c r="K190" i="7"/>
  <c r="B191" i="7"/>
  <c r="K191" i="7"/>
  <c r="B192" i="7"/>
  <c r="E192" i="7"/>
  <c r="I192" i="7"/>
  <c r="B193" i="7"/>
  <c r="D193" i="7"/>
  <c r="H193" i="7"/>
  <c r="I193" i="7"/>
  <c r="K193" i="7"/>
  <c r="L193" i="7"/>
  <c r="B194" i="7"/>
  <c r="E194" i="7"/>
  <c r="I194" i="7"/>
  <c r="K194" i="7"/>
  <c r="B195" i="7"/>
  <c r="I195" i="7"/>
  <c r="K195" i="7"/>
  <c r="B196" i="7"/>
  <c r="E196" i="7"/>
  <c r="K196" i="7"/>
  <c r="B197" i="7"/>
  <c r="I197" i="7"/>
  <c r="B198" i="7"/>
  <c r="E198" i="7"/>
  <c r="B199" i="7"/>
  <c r="B200" i="7"/>
  <c r="C200" i="7"/>
  <c r="E185" i="7" s="1"/>
  <c r="G200" i="7"/>
  <c r="I199" i="7" s="1"/>
  <c r="K200" i="7"/>
  <c r="B202" i="7"/>
  <c r="C203" i="7"/>
  <c r="G203" i="7"/>
  <c r="K203" i="7"/>
  <c r="C204" i="7"/>
  <c r="E204" i="7"/>
  <c r="G204" i="7"/>
  <c r="I204" i="7"/>
  <c r="K204" i="7"/>
  <c r="L204" i="7"/>
  <c r="B205" i="7"/>
  <c r="D205" i="7"/>
  <c r="H205" i="7"/>
  <c r="L205" i="7" s="1"/>
  <c r="I205" i="7"/>
  <c r="K205" i="7"/>
  <c r="B206" i="7"/>
  <c r="K206" i="7"/>
  <c r="B207" i="7"/>
  <c r="I207" i="7"/>
  <c r="K207" i="7"/>
  <c r="B208" i="7"/>
  <c r="K208" i="7"/>
  <c r="B209" i="7"/>
  <c r="K209" i="7"/>
  <c r="B210" i="7"/>
  <c r="I210" i="7"/>
  <c r="K210" i="7"/>
  <c r="B211" i="7"/>
  <c r="K211" i="7"/>
  <c r="B212" i="7"/>
  <c r="E212" i="7"/>
  <c r="B213" i="7"/>
  <c r="D213" i="7"/>
  <c r="H213" i="7"/>
  <c r="L213" i="7" s="1"/>
  <c r="I213" i="7"/>
  <c r="K213" i="7"/>
  <c r="B214" i="7"/>
  <c r="K214" i="7"/>
  <c r="B215" i="7"/>
  <c r="I215" i="7"/>
  <c r="K215" i="7"/>
  <c r="B216" i="7"/>
  <c r="K216" i="7"/>
  <c r="B217" i="7"/>
  <c r="B218" i="7"/>
  <c r="B219" i="7"/>
  <c r="B220" i="7"/>
  <c r="C220" i="7"/>
  <c r="E208" i="7" s="1"/>
  <c r="G220" i="7"/>
  <c r="I208" i="7" s="1"/>
  <c r="B222" i="7"/>
  <c r="C223" i="7"/>
  <c r="G223" i="7"/>
  <c r="K223" i="7"/>
  <c r="C224" i="7"/>
  <c r="E224" i="7"/>
  <c r="G224" i="7"/>
  <c r="I224" i="7"/>
  <c r="K224" i="7"/>
  <c r="L224" i="7"/>
  <c r="B225" i="7"/>
  <c r="D225" i="7"/>
  <c r="H225" i="7"/>
  <c r="K225" i="7"/>
  <c r="L225" i="7"/>
  <c r="B226" i="7"/>
  <c r="K226" i="7"/>
  <c r="B227" i="7"/>
  <c r="K227" i="7"/>
  <c r="B228" i="7"/>
  <c r="K228" i="7"/>
  <c r="B229" i="7"/>
  <c r="K229" i="7"/>
  <c r="B230" i="7"/>
  <c r="K230" i="7"/>
  <c r="B231" i="7"/>
  <c r="K231" i="7"/>
  <c r="AE251" i="7" s="1"/>
  <c r="B232" i="7"/>
  <c r="E232" i="7"/>
  <c r="B233" i="7"/>
  <c r="K233" i="7"/>
  <c r="B234" i="7"/>
  <c r="C234" i="7"/>
  <c r="G234" i="7"/>
  <c r="B235" i="7"/>
  <c r="C235" i="7"/>
  <c r="G235" i="7"/>
  <c r="G240" i="7" s="1"/>
  <c r="K235" i="7"/>
  <c r="B236" i="7"/>
  <c r="K236" i="7"/>
  <c r="B237" i="7"/>
  <c r="K237" i="7"/>
  <c r="B238" i="7"/>
  <c r="K238" i="7"/>
  <c r="B239" i="7"/>
  <c r="B240" i="7"/>
  <c r="B242" i="7"/>
  <c r="V242" i="7" s="1"/>
  <c r="C243" i="7"/>
  <c r="G243" i="7"/>
  <c r="K243" i="7"/>
  <c r="AE243" i="7" s="1"/>
  <c r="V243" i="7"/>
  <c r="W243" i="7"/>
  <c r="AA243" i="7"/>
  <c r="C244" i="7"/>
  <c r="W244" i="7" s="1"/>
  <c r="E244" i="7"/>
  <c r="G244" i="7"/>
  <c r="I244" i="7"/>
  <c r="K244" i="7"/>
  <c r="L244" i="7"/>
  <c r="AF244" i="7" s="1"/>
  <c r="Y244" i="7"/>
  <c r="AA244" i="7"/>
  <c r="AC244" i="7"/>
  <c r="AE244" i="7"/>
  <c r="B245" i="7"/>
  <c r="D245" i="7"/>
  <c r="X245" i="7" s="1"/>
  <c r="H245" i="7"/>
  <c r="K245" i="7"/>
  <c r="AE265" i="7" s="1"/>
  <c r="L245" i="7"/>
  <c r="AF245" i="7" s="1"/>
  <c r="V245" i="7"/>
  <c r="W245" i="7"/>
  <c r="AA245" i="7"/>
  <c r="AB245" i="7"/>
  <c r="B246" i="7"/>
  <c r="V246" i="7" s="1"/>
  <c r="E246" i="7"/>
  <c r="K246" i="7"/>
  <c r="W246" i="7"/>
  <c r="X246" i="7"/>
  <c r="Z246" i="7"/>
  <c r="AA246" i="7"/>
  <c r="AB246" i="7"/>
  <c r="AD246" i="7"/>
  <c r="AE246" i="7"/>
  <c r="AF246" i="7"/>
  <c r="B247" i="7"/>
  <c r="K247" i="7"/>
  <c r="V247" i="7"/>
  <c r="W247" i="7"/>
  <c r="X247" i="7"/>
  <c r="Z247" i="7"/>
  <c r="AA247" i="7"/>
  <c r="AB247" i="7"/>
  <c r="AD247" i="7"/>
  <c r="AE247" i="7"/>
  <c r="AF247" i="7"/>
  <c r="B248" i="7"/>
  <c r="V248" i="7" s="1"/>
  <c r="K248" i="7"/>
  <c r="AE248" i="7" s="1"/>
  <c r="W248" i="7"/>
  <c r="X248" i="7"/>
  <c r="Z248" i="7"/>
  <c r="AA248" i="7"/>
  <c r="AB248" i="7"/>
  <c r="AD248" i="7"/>
  <c r="AF248" i="7"/>
  <c r="B249" i="7"/>
  <c r="K249" i="7"/>
  <c r="AE249" i="7" s="1"/>
  <c r="V249" i="7"/>
  <c r="W249" i="7"/>
  <c r="X249" i="7"/>
  <c r="Z249" i="7"/>
  <c r="AA249" i="7"/>
  <c r="AB249" i="7"/>
  <c r="AD249" i="7"/>
  <c r="AF249" i="7"/>
  <c r="B250" i="7"/>
  <c r="V250" i="7" s="1"/>
  <c r="E250" i="7"/>
  <c r="K250" i="7"/>
  <c r="W250" i="7"/>
  <c r="X250" i="7"/>
  <c r="Z250" i="7"/>
  <c r="AA250" i="7"/>
  <c r="AB250" i="7"/>
  <c r="AD250" i="7"/>
  <c r="AE250" i="7"/>
  <c r="AF250" i="7"/>
  <c r="B251" i="7"/>
  <c r="K251" i="7"/>
  <c r="V251" i="7"/>
  <c r="W251" i="7"/>
  <c r="AA251" i="7"/>
  <c r="AB251" i="7"/>
  <c r="AD251" i="7"/>
  <c r="B252" i="7"/>
  <c r="E252" i="7"/>
  <c r="Y252" i="7" s="1"/>
  <c r="V252" i="7"/>
  <c r="X252" i="7"/>
  <c r="AA252" i="7"/>
  <c r="AB252" i="7"/>
  <c r="AD252" i="7"/>
  <c r="AE252" i="7"/>
  <c r="B253" i="7"/>
  <c r="D253" i="7"/>
  <c r="K253" i="7"/>
  <c r="AE253" i="7" s="1"/>
  <c r="V253" i="7"/>
  <c r="W253" i="7"/>
  <c r="AA253" i="7"/>
  <c r="G254" i="7"/>
  <c r="G260" i="7" s="1"/>
  <c r="K254" i="7"/>
  <c r="V254" i="7"/>
  <c r="X254" i="7"/>
  <c r="Z254" i="7"/>
  <c r="AB254" i="7"/>
  <c r="AD254" i="7"/>
  <c r="AF254" i="7"/>
  <c r="E255" i="7"/>
  <c r="G255" i="7"/>
  <c r="K255" i="7"/>
  <c r="AE255" i="7" s="1"/>
  <c r="V255" i="7"/>
  <c r="W255" i="7"/>
  <c r="X255" i="7"/>
  <c r="Z255" i="7"/>
  <c r="AB255" i="7"/>
  <c r="AD255" i="7"/>
  <c r="AF255" i="7"/>
  <c r="B256" i="7"/>
  <c r="V256" i="7" s="1"/>
  <c r="K256" i="7"/>
  <c r="AE256" i="7" s="1"/>
  <c r="W256" i="7"/>
  <c r="X256" i="7"/>
  <c r="Z256" i="7"/>
  <c r="AA256" i="7"/>
  <c r="AB256" i="7"/>
  <c r="AD256" i="7"/>
  <c r="AF256" i="7"/>
  <c r="B257" i="7"/>
  <c r="K257" i="7"/>
  <c r="V257" i="7"/>
  <c r="W257" i="7"/>
  <c r="X257" i="7"/>
  <c r="Z257" i="7"/>
  <c r="AA257" i="7"/>
  <c r="AB257" i="7"/>
  <c r="AD257" i="7"/>
  <c r="AE257" i="7"/>
  <c r="AF257" i="7"/>
  <c r="B258" i="7"/>
  <c r="K258" i="7"/>
  <c r="AE258" i="7" s="1"/>
  <c r="V258" i="7"/>
  <c r="W258" i="7"/>
  <c r="X258" i="7"/>
  <c r="Z258" i="7"/>
  <c r="AA258" i="7"/>
  <c r="AB258" i="7"/>
  <c r="AD258" i="7"/>
  <c r="AF258" i="7"/>
  <c r="B259" i="7"/>
  <c r="V259" i="7" s="1"/>
  <c r="W259" i="7"/>
  <c r="X259" i="7"/>
  <c r="Y259" i="7"/>
  <c r="Z259" i="7"/>
  <c r="AA259" i="7"/>
  <c r="AE259" i="7"/>
  <c r="B260" i="7"/>
  <c r="V260" i="7" s="1"/>
  <c r="C260" i="7"/>
  <c r="E247" i="7" s="1"/>
  <c r="B262" i="7"/>
  <c r="V262" i="7"/>
  <c r="C263" i="7"/>
  <c r="W263" i="7" s="1"/>
  <c r="G263" i="7"/>
  <c r="AA263" i="7" s="1"/>
  <c r="K263" i="7"/>
  <c r="V263" i="7"/>
  <c r="AE263" i="7"/>
  <c r="C264" i="7"/>
  <c r="E264" i="7"/>
  <c r="Y264" i="7" s="1"/>
  <c r="G264" i="7"/>
  <c r="I264" i="7"/>
  <c r="AC264" i="7" s="1"/>
  <c r="K264" i="7"/>
  <c r="AE264" i="7" s="1"/>
  <c r="L264" i="7"/>
  <c r="AF264" i="7" s="1"/>
  <c r="W264" i="7"/>
  <c r="AA264" i="7"/>
  <c r="B265" i="7"/>
  <c r="D265" i="7"/>
  <c r="X265" i="7" s="1"/>
  <c r="H265" i="7"/>
  <c r="L265" i="7" s="1"/>
  <c r="AF265" i="7" s="1"/>
  <c r="I265" i="7"/>
  <c r="K265" i="7"/>
  <c r="V265" i="7"/>
  <c r="W265" i="7"/>
  <c r="AA265" i="7"/>
  <c r="B266" i="7"/>
  <c r="V266" i="7" s="1"/>
  <c r="K266" i="7"/>
  <c r="W266" i="7"/>
  <c r="X266" i="7"/>
  <c r="Z266" i="7"/>
  <c r="AA266" i="7"/>
  <c r="AB266" i="7"/>
  <c r="AD266" i="7"/>
  <c r="AE266" i="7"/>
  <c r="AF266" i="7"/>
  <c r="B267" i="7"/>
  <c r="I267" i="7"/>
  <c r="K267" i="7"/>
  <c r="V267" i="7"/>
  <c r="W267" i="7"/>
  <c r="X267" i="7"/>
  <c r="Z267" i="7"/>
  <c r="AA267" i="7"/>
  <c r="AB267" i="7"/>
  <c r="AD267" i="7"/>
  <c r="AE267" i="7"/>
  <c r="AF267" i="7"/>
  <c r="B268" i="7"/>
  <c r="I268" i="7"/>
  <c r="K268" i="7"/>
  <c r="AE268" i="7" s="1"/>
  <c r="V268" i="7"/>
  <c r="W268" i="7"/>
  <c r="X268" i="7"/>
  <c r="Z268" i="7"/>
  <c r="AA268" i="7"/>
  <c r="AB268" i="7"/>
  <c r="AD268" i="7"/>
  <c r="AF268" i="7"/>
  <c r="K269" i="7"/>
  <c r="V269" i="7"/>
  <c r="W269" i="7"/>
  <c r="X269" i="7"/>
  <c r="Z269" i="7"/>
  <c r="AA269" i="7"/>
  <c r="AB269" i="7"/>
  <c r="AD269" i="7"/>
  <c r="AE269" i="7"/>
  <c r="AF269" i="7"/>
  <c r="B270" i="7"/>
  <c r="V270" i="7"/>
  <c r="W270" i="7"/>
  <c r="X270" i="7"/>
  <c r="Z270" i="7"/>
  <c r="AA270" i="7"/>
  <c r="AB270" i="7"/>
  <c r="AD270" i="7"/>
  <c r="AE270" i="7"/>
  <c r="AF270" i="7"/>
  <c r="B271" i="7"/>
  <c r="K271" i="7"/>
  <c r="V271" i="7"/>
  <c r="W271" i="7"/>
  <c r="AA271" i="7"/>
  <c r="AB271" i="7"/>
  <c r="AD271" i="7"/>
  <c r="AE271" i="7"/>
  <c r="B272" i="7"/>
  <c r="V272" i="7" s="1"/>
  <c r="E272" i="7"/>
  <c r="Y272" i="7" s="1"/>
  <c r="X272" i="7"/>
  <c r="AA272" i="7"/>
  <c r="AB272" i="7"/>
  <c r="AD272" i="7"/>
  <c r="AE272" i="7"/>
  <c r="B273" i="7"/>
  <c r="I273" i="7"/>
  <c r="AC293" i="7" s="1"/>
  <c r="K273" i="7"/>
  <c r="AE293" i="7" s="1"/>
  <c r="V273" i="7"/>
  <c r="W273" i="7"/>
  <c r="AA273" i="7"/>
  <c r="B274" i="7"/>
  <c r="V274" i="7" s="1"/>
  <c r="C274" i="7"/>
  <c r="G274" i="7"/>
  <c r="I274" i="7"/>
  <c r="AC294" i="7" s="1"/>
  <c r="X274" i="7"/>
  <c r="Z274" i="7"/>
  <c r="AA274" i="7"/>
  <c r="AB274" i="7"/>
  <c r="AD274" i="7"/>
  <c r="AF274" i="7"/>
  <c r="B275" i="7"/>
  <c r="C275" i="7"/>
  <c r="G275" i="7"/>
  <c r="H273" i="7" s="1"/>
  <c r="AB293" i="7" s="1"/>
  <c r="I275" i="7"/>
  <c r="V275" i="7"/>
  <c r="W275" i="7"/>
  <c r="X275" i="7"/>
  <c r="Z275" i="7"/>
  <c r="AA275" i="7"/>
  <c r="AB275" i="7"/>
  <c r="AD275" i="7"/>
  <c r="AF275" i="7"/>
  <c r="B276" i="7"/>
  <c r="I276" i="7"/>
  <c r="AC296" i="7" s="1"/>
  <c r="K276" i="7"/>
  <c r="AE276" i="7" s="1"/>
  <c r="V276" i="7"/>
  <c r="W276" i="7"/>
  <c r="X276" i="7"/>
  <c r="Z276" i="7"/>
  <c r="AA276" i="7"/>
  <c r="AB276" i="7"/>
  <c r="AD276" i="7"/>
  <c r="AF276" i="7"/>
  <c r="B277" i="7"/>
  <c r="V277" i="7" s="1"/>
  <c r="K277" i="7"/>
  <c r="AE277" i="7" s="1"/>
  <c r="W277" i="7"/>
  <c r="X277" i="7"/>
  <c r="Z277" i="7"/>
  <c r="AA277" i="7"/>
  <c r="AB277" i="7"/>
  <c r="AD277" i="7"/>
  <c r="AF277" i="7"/>
  <c r="B278" i="7"/>
  <c r="V278" i="7" s="1"/>
  <c r="I278" i="7"/>
  <c r="AC278" i="7" s="1"/>
  <c r="K278" i="7"/>
  <c r="W278" i="7"/>
  <c r="X278" i="7"/>
  <c r="Z278" i="7"/>
  <c r="AA278" i="7"/>
  <c r="AB278" i="7"/>
  <c r="AD278" i="7"/>
  <c r="AE278" i="7"/>
  <c r="AF278" i="7"/>
  <c r="B279" i="7"/>
  <c r="V279" i="7"/>
  <c r="W279" i="7"/>
  <c r="X279" i="7"/>
  <c r="Y279" i="7"/>
  <c r="Z279" i="7"/>
  <c r="AA279" i="7"/>
  <c r="AE279" i="7"/>
  <c r="B280" i="7"/>
  <c r="G280" i="7"/>
  <c r="I269" i="7" s="1"/>
  <c r="V280" i="7"/>
  <c r="B282" i="7"/>
  <c r="V282" i="7" s="1"/>
  <c r="C283" i="7"/>
  <c r="G283" i="7"/>
  <c r="K283" i="7"/>
  <c r="V283" i="7"/>
  <c r="W283" i="7"/>
  <c r="AA283" i="7"/>
  <c r="AE283" i="7"/>
  <c r="C284" i="7"/>
  <c r="W284" i="7" s="1"/>
  <c r="E284" i="7"/>
  <c r="G284" i="7"/>
  <c r="AA284" i="7" s="1"/>
  <c r="I284" i="7"/>
  <c r="K284" i="7"/>
  <c r="L284" i="7"/>
  <c r="Y284" i="7"/>
  <c r="AC284" i="7"/>
  <c r="AE284" i="7"/>
  <c r="AF284" i="7"/>
  <c r="B285" i="7"/>
  <c r="D285" i="7"/>
  <c r="H285" i="7"/>
  <c r="L285" i="7" s="1"/>
  <c r="AF285" i="7" s="1"/>
  <c r="I285" i="7"/>
  <c r="K285" i="7"/>
  <c r="AE285" i="7" s="1"/>
  <c r="V285" i="7"/>
  <c r="W285" i="7"/>
  <c r="X285" i="7"/>
  <c r="AA285" i="7"/>
  <c r="B286" i="7"/>
  <c r="I286" i="7"/>
  <c r="K286" i="7"/>
  <c r="AE286" i="7" s="1"/>
  <c r="V286" i="7"/>
  <c r="W286" i="7"/>
  <c r="X286" i="7"/>
  <c r="Z286" i="7"/>
  <c r="AA286" i="7"/>
  <c r="AB286" i="7"/>
  <c r="AD286" i="7"/>
  <c r="AF286" i="7"/>
  <c r="B287" i="7"/>
  <c r="V287" i="7" s="1"/>
  <c r="I287" i="7"/>
  <c r="K287" i="7"/>
  <c r="AE287" i="7" s="1"/>
  <c r="W287" i="7"/>
  <c r="X287" i="7"/>
  <c r="Z287" i="7"/>
  <c r="AA287" i="7"/>
  <c r="AB287" i="7"/>
  <c r="AC287" i="7"/>
  <c r="AD287" i="7"/>
  <c r="AF287" i="7"/>
  <c r="B288" i="7"/>
  <c r="V288" i="7" s="1"/>
  <c r="I288" i="7"/>
  <c r="AC288" i="7" s="1"/>
  <c r="K288" i="7"/>
  <c r="W288" i="7"/>
  <c r="X288" i="7"/>
  <c r="Z288" i="7"/>
  <c r="AA288" i="7"/>
  <c r="AB288" i="7"/>
  <c r="AD288" i="7"/>
  <c r="AF288" i="7"/>
  <c r="I289" i="7"/>
  <c r="K289" i="7"/>
  <c r="AE289" i="7" s="1"/>
  <c r="V289" i="7"/>
  <c r="W289" i="7"/>
  <c r="X289" i="7"/>
  <c r="Z289" i="7"/>
  <c r="AA289" i="7"/>
  <c r="AB289" i="7"/>
  <c r="AD289" i="7"/>
  <c r="AF289" i="7"/>
  <c r="B290" i="7"/>
  <c r="I290" i="7"/>
  <c r="V290" i="7"/>
  <c r="W290" i="7"/>
  <c r="X290" i="7"/>
  <c r="Z290" i="7"/>
  <c r="AA290" i="7"/>
  <c r="AB290" i="7"/>
  <c r="AD290" i="7"/>
  <c r="AE290" i="7"/>
  <c r="AF290" i="7"/>
  <c r="B291" i="7"/>
  <c r="V291" i="7" s="1"/>
  <c r="I291" i="7"/>
  <c r="K291" i="7"/>
  <c r="AE291" i="7" s="1"/>
  <c r="W291" i="7"/>
  <c r="AA291" i="7"/>
  <c r="AB291" i="7"/>
  <c r="AD291" i="7"/>
  <c r="B292" i="7"/>
  <c r="V292" i="7" s="1"/>
  <c r="E292" i="7"/>
  <c r="Y292" i="7" s="1"/>
  <c r="I292" i="7"/>
  <c r="X292" i="7"/>
  <c r="AA292" i="7"/>
  <c r="AB292" i="7"/>
  <c r="AD292" i="7"/>
  <c r="AE292" i="7"/>
  <c r="B293" i="7"/>
  <c r="D293" i="7"/>
  <c r="H293" i="7"/>
  <c r="L293" i="7" s="1"/>
  <c r="I293" i="7"/>
  <c r="K293" i="7"/>
  <c r="V293" i="7"/>
  <c r="W293" i="7"/>
  <c r="AA293" i="7"/>
  <c r="B294" i="7"/>
  <c r="V294" i="7" s="1"/>
  <c r="I294" i="7"/>
  <c r="K294" i="7"/>
  <c r="X294" i="7"/>
  <c r="Z294" i="7"/>
  <c r="AA294" i="7"/>
  <c r="AB294" i="7"/>
  <c r="AD294" i="7"/>
  <c r="AF294" i="7"/>
  <c r="B295" i="7"/>
  <c r="I295" i="7"/>
  <c r="J293" i="7" s="1"/>
  <c r="K295" i="7"/>
  <c r="V295" i="7"/>
  <c r="W295" i="7"/>
  <c r="X295" i="7"/>
  <c r="Z295" i="7"/>
  <c r="AA295" i="7"/>
  <c r="AB295" i="7"/>
  <c r="AD295" i="7"/>
  <c r="AF295" i="7"/>
  <c r="B296" i="7"/>
  <c r="V296" i="7" s="1"/>
  <c r="I296" i="7"/>
  <c r="K296" i="7"/>
  <c r="W296" i="7"/>
  <c r="X296" i="7"/>
  <c r="Z296" i="7"/>
  <c r="AA296" i="7"/>
  <c r="AB296" i="7"/>
  <c r="AD296" i="7"/>
  <c r="AF296" i="7"/>
  <c r="B297" i="7"/>
  <c r="I297" i="7"/>
  <c r="K297" i="7"/>
  <c r="V297" i="7"/>
  <c r="W297" i="7"/>
  <c r="X297" i="7"/>
  <c r="Z297" i="7"/>
  <c r="AA297" i="7"/>
  <c r="AB297" i="7"/>
  <c r="AD297" i="7"/>
  <c r="AE297" i="7"/>
  <c r="AF297" i="7"/>
  <c r="B298" i="7"/>
  <c r="V298" i="7" s="1"/>
  <c r="I298" i="7"/>
  <c r="K298" i="7"/>
  <c r="AE298" i="7" s="1"/>
  <c r="W298" i="7"/>
  <c r="X298" i="7"/>
  <c r="Z298" i="7"/>
  <c r="AA298" i="7"/>
  <c r="AB298" i="7"/>
  <c r="AC298" i="7"/>
  <c r="AD298" i="7"/>
  <c r="AF298" i="7"/>
  <c r="B299" i="7"/>
  <c r="V299" i="7"/>
  <c r="W299" i="7"/>
  <c r="X299" i="7"/>
  <c r="Y299" i="7"/>
  <c r="Z299" i="7"/>
  <c r="AA299" i="7"/>
  <c r="AE299" i="7"/>
  <c r="B300" i="7"/>
  <c r="C300" i="7"/>
  <c r="G300" i="7"/>
  <c r="I299" i="7" s="1"/>
  <c r="K300" i="7"/>
  <c r="V300" i="7"/>
  <c r="AA300" i="7"/>
  <c r="AC300" i="7"/>
  <c r="X293" i="7" l="1"/>
  <c r="K130" i="7"/>
  <c r="C140" i="7"/>
  <c r="E130" i="7" s="1"/>
  <c r="L125" i="7"/>
  <c r="J53" i="7"/>
  <c r="AC285" i="7"/>
  <c r="AC289" i="7"/>
  <c r="AC269" i="7"/>
  <c r="D273" i="7"/>
  <c r="X273" i="7" s="1"/>
  <c r="K274" i="7"/>
  <c r="AE274" i="7" s="1"/>
  <c r="C280" i="7"/>
  <c r="E274" i="7" s="1"/>
  <c r="Y274" i="7" s="1"/>
  <c r="W294" i="7"/>
  <c r="W274" i="7"/>
  <c r="AC265" i="7"/>
  <c r="C240" i="7"/>
  <c r="W254" i="7"/>
  <c r="D233" i="7"/>
  <c r="X253" i="7" s="1"/>
  <c r="K234" i="7"/>
  <c r="AE254" i="7" s="1"/>
  <c r="AC292" i="7"/>
  <c r="E71" i="7"/>
  <c r="J45" i="7"/>
  <c r="I60" i="7" s="1"/>
  <c r="AE296" i="7"/>
  <c r="I153" i="7"/>
  <c r="I148" i="7"/>
  <c r="I151" i="7"/>
  <c r="I156" i="7"/>
  <c r="I150" i="7"/>
  <c r="I146" i="7"/>
  <c r="I149" i="7"/>
  <c r="K160" i="7"/>
  <c r="I152" i="7"/>
  <c r="I154" i="7"/>
  <c r="I157" i="7"/>
  <c r="I147" i="7"/>
  <c r="E51" i="7"/>
  <c r="E48" i="7"/>
  <c r="E56" i="7"/>
  <c r="E49" i="7"/>
  <c r="E53" i="7"/>
  <c r="E55" i="7"/>
  <c r="E54" i="7"/>
  <c r="E50" i="7"/>
  <c r="E58" i="7"/>
  <c r="F185" i="7"/>
  <c r="AE288" i="7"/>
  <c r="I246" i="7"/>
  <c r="AC246" i="7" s="1"/>
  <c r="I250" i="7"/>
  <c r="AC250" i="7" s="1"/>
  <c r="I259" i="7"/>
  <c r="AA280" i="7"/>
  <c r="K260" i="7"/>
  <c r="I249" i="7"/>
  <c r="I247" i="7"/>
  <c r="AC247" i="7" s="1"/>
  <c r="I251" i="7"/>
  <c r="I252" i="7"/>
  <c r="AC252" i="7" s="1"/>
  <c r="I256" i="7"/>
  <c r="I254" i="7"/>
  <c r="I253" i="7"/>
  <c r="I248" i="7"/>
  <c r="AC248" i="7" s="1"/>
  <c r="AA260" i="7"/>
  <c r="I245" i="7"/>
  <c r="AC260" i="7"/>
  <c r="I257" i="7"/>
  <c r="AC257" i="7" s="1"/>
  <c r="I258" i="7"/>
  <c r="AC258" i="7" s="1"/>
  <c r="J145" i="7"/>
  <c r="I28" i="7"/>
  <c r="I31" i="7"/>
  <c r="I36" i="7"/>
  <c r="K40" i="7"/>
  <c r="I33" i="7"/>
  <c r="I26" i="7"/>
  <c r="I29" i="7"/>
  <c r="I32" i="7"/>
  <c r="I34" i="7"/>
  <c r="I37" i="7"/>
  <c r="I25" i="7"/>
  <c r="I27" i="7"/>
  <c r="I30" i="7"/>
  <c r="I35" i="7"/>
  <c r="I39" i="7"/>
  <c r="AE294" i="7"/>
  <c r="I255" i="7"/>
  <c r="I226" i="7"/>
  <c r="I229" i="7"/>
  <c r="I232" i="7"/>
  <c r="I236" i="7"/>
  <c r="I234" i="7"/>
  <c r="I227" i="7"/>
  <c r="I230" i="7"/>
  <c r="I237" i="7"/>
  <c r="K240" i="7"/>
  <c r="I225" i="7"/>
  <c r="I233" i="7"/>
  <c r="I228" i="7"/>
  <c r="I231" i="7"/>
  <c r="I239" i="7"/>
  <c r="K275" i="7"/>
  <c r="AE275" i="7" s="1"/>
  <c r="AE273" i="7"/>
  <c r="AA255" i="7"/>
  <c r="E254" i="7"/>
  <c r="E249" i="7"/>
  <c r="AE245" i="7"/>
  <c r="I235" i="7"/>
  <c r="I219" i="7"/>
  <c r="E215" i="7"/>
  <c r="E213" i="7"/>
  <c r="E210" i="7"/>
  <c r="E207" i="7"/>
  <c r="E205" i="7"/>
  <c r="E150" i="7"/>
  <c r="E147" i="7"/>
  <c r="E145" i="7"/>
  <c r="I137" i="7"/>
  <c r="J133" i="7" s="1"/>
  <c r="I113" i="7"/>
  <c r="I105" i="7"/>
  <c r="J105" i="7" s="1"/>
  <c r="I69" i="7"/>
  <c r="F65" i="7"/>
  <c r="I54" i="7"/>
  <c r="K47" i="7"/>
  <c r="F25" i="7"/>
  <c r="E16" i="7"/>
  <c r="F13" i="7" s="1"/>
  <c r="I9" i="7"/>
  <c r="I175" i="7"/>
  <c r="I76" i="7"/>
  <c r="E35" i="7"/>
  <c r="E33" i="7"/>
  <c r="E30" i="7"/>
  <c r="E27" i="7"/>
  <c r="E25" i="7"/>
  <c r="E40" i="7" s="1"/>
  <c r="AC295" i="7"/>
  <c r="J285" i="7"/>
  <c r="I279" i="7"/>
  <c r="AC279" i="7" s="1"/>
  <c r="AC273" i="7"/>
  <c r="E257" i="7"/>
  <c r="E218" i="7"/>
  <c r="I196" i="7"/>
  <c r="J193" i="7" s="1"/>
  <c r="I191" i="7"/>
  <c r="I188" i="7"/>
  <c r="I179" i="7"/>
  <c r="E175" i="7"/>
  <c r="E173" i="7"/>
  <c r="F173" i="7" s="1"/>
  <c r="E170" i="7"/>
  <c r="E167" i="7"/>
  <c r="F165" i="7" s="1"/>
  <c r="I131" i="7"/>
  <c r="I115" i="7"/>
  <c r="I110" i="7"/>
  <c r="I107" i="7"/>
  <c r="E98" i="7"/>
  <c r="I94" i="7"/>
  <c r="E89" i="7"/>
  <c r="E86" i="7"/>
  <c r="F85" i="7" s="1"/>
  <c r="I71" i="7"/>
  <c r="D65" i="7"/>
  <c r="L65" i="7" s="1"/>
  <c r="E38" i="7"/>
  <c r="K20" i="7"/>
  <c r="I15" i="7"/>
  <c r="I5" i="7"/>
  <c r="J5" i="7" s="1"/>
  <c r="AB265" i="7"/>
  <c r="I167" i="7"/>
  <c r="I272" i="7"/>
  <c r="I271" i="7"/>
  <c r="AA254" i="7"/>
  <c r="E248" i="7"/>
  <c r="H233" i="7"/>
  <c r="L233" i="7" s="1"/>
  <c r="I214" i="7"/>
  <c r="J213" i="7" s="1"/>
  <c r="I212" i="7"/>
  <c r="I209" i="7"/>
  <c r="I206" i="7"/>
  <c r="J205" i="7" s="1"/>
  <c r="I220" i="7" s="1"/>
  <c r="E191" i="7"/>
  <c r="E188" i="7"/>
  <c r="I128" i="7"/>
  <c r="I119" i="7"/>
  <c r="E115" i="7"/>
  <c r="E113" i="7"/>
  <c r="F113" i="7" s="1"/>
  <c r="E110" i="7"/>
  <c r="E107" i="7"/>
  <c r="E105" i="7"/>
  <c r="E94" i="7"/>
  <c r="F93" i="7" s="1"/>
  <c r="C80" i="7"/>
  <c r="I73" i="7"/>
  <c r="I66" i="7"/>
  <c r="K60" i="7"/>
  <c r="I49" i="7"/>
  <c r="E15" i="7"/>
  <c r="I12" i="7"/>
  <c r="I8" i="7"/>
  <c r="E258" i="7"/>
  <c r="AC276" i="7"/>
  <c r="I266" i="7"/>
  <c r="AC286" i="7" s="1"/>
  <c r="W260" i="7"/>
  <c r="H253" i="7"/>
  <c r="AB273" i="7" s="1"/>
  <c r="E245" i="7"/>
  <c r="I217" i="7"/>
  <c r="E214" i="7"/>
  <c r="E209" i="7"/>
  <c r="E206" i="7"/>
  <c r="I185" i="7"/>
  <c r="J185" i="7" s="1"/>
  <c r="K100" i="7"/>
  <c r="I56" i="7"/>
  <c r="E45" i="7"/>
  <c r="E8" i="7"/>
  <c r="I165" i="7"/>
  <c r="I170" i="7"/>
  <c r="AB285" i="7"/>
  <c r="I270" i="7"/>
  <c r="AC270" i="7" s="1"/>
  <c r="E256" i="7"/>
  <c r="I174" i="7"/>
  <c r="I172" i="7"/>
  <c r="I169" i="7"/>
  <c r="I166" i="7"/>
  <c r="I125" i="7"/>
  <c r="J125" i="7" s="1"/>
  <c r="E118" i="7"/>
  <c r="I91" i="7"/>
  <c r="I88" i="7"/>
  <c r="J85" i="7" s="1"/>
  <c r="I100" i="7" s="1"/>
  <c r="I79" i="7"/>
  <c r="I75" i="7"/>
  <c r="I68" i="7"/>
  <c r="I51" i="7"/>
  <c r="D45" i="7"/>
  <c r="L45" i="7" s="1"/>
  <c r="E34" i="7"/>
  <c r="E29" i="7"/>
  <c r="I14" i="7"/>
  <c r="E5" i="7"/>
  <c r="E253" i="7"/>
  <c r="E251" i="7"/>
  <c r="K220" i="7"/>
  <c r="I177" i="7"/>
  <c r="I114" i="7"/>
  <c r="I112" i="7"/>
  <c r="I109" i="7"/>
  <c r="I106" i="7"/>
  <c r="I96" i="7"/>
  <c r="K70" i="7"/>
  <c r="E14" i="7"/>
  <c r="I173" i="7"/>
  <c r="AC280" i="7"/>
  <c r="I277" i="7"/>
  <c r="I216" i="7"/>
  <c r="I211" i="7"/>
  <c r="E195" i="7"/>
  <c r="E193" i="7"/>
  <c r="F193" i="7" s="1"/>
  <c r="E190" i="7"/>
  <c r="E187" i="7"/>
  <c r="E200" i="7" s="1"/>
  <c r="E156" i="7"/>
  <c r="I139" i="7"/>
  <c r="I127" i="7"/>
  <c r="E114" i="7"/>
  <c r="E109" i="7"/>
  <c r="I93" i="7"/>
  <c r="J93" i="7" s="1"/>
  <c r="I70" i="7"/>
  <c r="E11" i="7"/>
  <c r="E7" i="7"/>
  <c r="E216" i="7"/>
  <c r="E211" i="7"/>
  <c r="I55" i="7"/>
  <c r="Y245" i="7" l="1"/>
  <c r="F245" i="7"/>
  <c r="E260" i="7"/>
  <c r="I300" i="7"/>
  <c r="K280" i="7"/>
  <c r="J65" i="7"/>
  <c r="J73" i="7"/>
  <c r="AC253" i="7"/>
  <c r="J253" i="7"/>
  <c r="AD253" i="7" s="1"/>
  <c r="F53" i="7"/>
  <c r="J265" i="7"/>
  <c r="AB253" i="7"/>
  <c r="L253" i="7"/>
  <c r="AF253" i="7" s="1"/>
  <c r="E68" i="7"/>
  <c r="E73" i="7"/>
  <c r="F73" i="7" s="1"/>
  <c r="E75" i="7"/>
  <c r="E78" i="7"/>
  <c r="E76" i="7"/>
  <c r="E65" i="7"/>
  <c r="E69" i="7"/>
  <c r="E67" i="7"/>
  <c r="K80" i="7"/>
  <c r="E74" i="7"/>
  <c r="AC254" i="7"/>
  <c r="AC274" i="7"/>
  <c r="J165" i="7"/>
  <c r="I180" i="7" s="1"/>
  <c r="F213" i="7"/>
  <c r="AC256" i="7"/>
  <c r="L273" i="7"/>
  <c r="J25" i="7"/>
  <c r="E180" i="7"/>
  <c r="AC251" i="7"/>
  <c r="F33" i="7"/>
  <c r="J113" i="7"/>
  <c r="J225" i="7"/>
  <c r="I240" i="7" s="1"/>
  <c r="AC290" i="7"/>
  <c r="AC249" i="7"/>
  <c r="E66" i="7"/>
  <c r="E100" i="7"/>
  <c r="J153" i="7"/>
  <c r="F205" i="7"/>
  <c r="E220" i="7"/>
  <c r="F105" i="7"/>
  <c r="E120" i="7"/>
  <c r="E277" i="7"/>
  <c r="Y277" i="7" s="1"/>
  <c r="E287" i="7"/>
  <c r="Y287" i="7" s="1"/>
  <c r="W300" i="7"/>
  <c r="E297" i="7"/>
  <c r="E270" i="7"/>
  <c r="Y270" i="7" s="1"/>
  <c r="E285" i="7"/>
  <c r="E276" i="7"/>
  <c r="Y276" i="7" s="1"/>
  <c r="E293" i="7"/>
  <c r="E291" i="7"/>
  <c r="E266" i="7"/>
  <c r="Y266" i="7" s="1"/>
  <c r="E278" i="7"/>
  <c r="Y278" i="7" s="1"/>
  <c r="E288" i="7"/>
  <c r="Y288" i="7" s="1"/>
  <c r="E268" i="7"/>
  <c r="Y268" i="7" s="1"/>
  <c r="E271" i="7"/>
  <c r="Y271" i="7" s="1"/>
  <c r="E273" i="7"/>
  <c r="W280" i="7"/>
  <c r="E275" i="7"/>
  <c r="Y275" i="7" s="1"/>
  <c r="E289" i="7"/>
  <c r="E294" i="7"/>
  <c r="Y294" i="7" s="1"/>
  <c r="E298" i="7"/>
  <c r="E286" i="7"/>
  <c r="E267" i="7"/>
  <c r="Y267" i="7" s="1"/>
  <c r="E265" i="7"/>
  <c r="E290" i="7"/>
  <c r="Y290" i="7" s="1"/>
  <c r="E295" i="7"/>
  <c r="Y295" i="7" s="1"/>
  <c r="E296" i="7"/>
  <c r="Y296" i="7" s="1"/>
  <c r="E269" i="7"/>
  <c r="Y269" i="7" s="1"/>
  <c r="J173" i="7"/>
  <c r="I120" i="7"/>
  <c r="E70" i="7"/>
  <c r="J13" i="7"/>
  <c r="I20" i="7" s="1"/>
  <c r="AC271" i="7"/>
  <c r="AE260" i="7"/>
  <c r="AC297" i="7"/>
  <c r="AC277" i="7"/>
  <c r="I160" i="7"/>
  <c r="E60" i="7"/>
  <c r="F45" i="7"/>
  <c r="E20" i="7"/>
  <c r="F5" i="7"/>
  <c r="E125" i="7"/>
  <c r="E127" i="7"/>
  <c r="E133" i="7"/>
  <c r="E155" i="7"/>
  <c r="F153" i="7" s="1"/>
  <c r="E136" i="7"/>
  <c r="E128" i="7"/>
  <c r="E131" i="7"/>
  <c r="E137" i="7"/>
  <c r="K140" i="7"/>
  <c r="E126" i="7"/>
  <c r="E129" i="7"/>
  <c r="E134" i="7"/>
  <c r="E135" i="7"/>
  <c r="E138" i="7"/>
  <c r="I200" i="7"/>
  <c r="AC272" i="7"/>
  <c r="E160" i="7"/>
  <c r="F145" i="7"/>
  <c r="Y254" i="7"/>
  <c r="AC255" i="7"/>
  <c r="E225" i="7"/>
  <c r="E227" i="7"/>
  <c r="Y247" i="7" s="1"/>
  <c r="E230" i="7"/>
  <c r="Y250" i="7" s="1"/>
  <c r="E233" i="7"/>
  <c r="E237" i="7"/>
  <c r="Y257" i="7" s="1"/>
  <c r="E228" i="7"/>
  <c r="Y248" i="7" s="1"/>
  <c r="E231" i="7"/>
  <c r="E238" i="7"/>
  <c r="Y258" i="7" s="1"/>
  <c r="E226" i="7"/>
  <c r="Y246" i="7" s="1"/>
  <c r="E236" i="7"/>
  <c r="E229" i="7"/>
  <c r="Y249" i="7" s="1"/>
  <c r="AC275" i="7"/>
  <c r="E235" i="7"/>
  <c r="Y255" i="7" s="1"/>
  <c r="AC267" i="7"/>
  <c r="AC245" i="7"/>
  <c r="J245" i="7"/>
  <c r="AC259" i="7"/>
  <c r="AC299" i="7"/>
  <c r="E234" i="7"/>
  <c r="AC291" i="7"/>
  <c r="Y251" i="7"/>
  <c r="AC266" i="7"/>
  <c r="Y253" i="7"/>
  <c r="F253" i="7"/>
  <c r="I140" i="7"/>
  <c r="J233" i="7"/>
  <c r="Y256" i="7"/>
  <c r="J273" i="7"/>
  <c r="AC268" i="7"/>
  <c r="J33" i="7"/>
  <c r="AE295" i="7"/>
  <c r="Z253" i="7" l="1"/>
  <c r="I280" i="7"/>
  <c r="AD265" i="7"/>
  <c r="F133" i="7"/>
  <c r="E80" i="7"/>
  <c r="Y273" i="7"/>
  <c r="F273" i="7"/>
  <c r="Z273" i="7" s="1"/>
  <c r="F265" i="7"/>
  <c r="Z265" i="7" s="1"/>
  <c r="E280" i="7"/>
  <c r="Y280" i="7" s="1"/>
  <c r="Y265" i="7"/>
  <c r="Y286" i="7"/>
  <c r="Y291" i="7"/>
  <c r="I40" i="7"/>
  <c r="I80" i="7"/>
  <c r="AD273" i="7"/>
  <c r="AD293" i="7"/>
  <c r="F125" i="7"/>
  <c r="E140" i="7"/>
  <c r="Y298" i="7"/>
  <c r="Y293" i="7"/>
  <c r="F293" i="7"/>
  <c r="Z293" i="7" s="1"/>
  <c r="AF273" i="7"/>
  <c r="AF293" i="7"/>
  <c r="AE280" i="7"/>
  <c r="AE300" i="7"/>
  <c r="I260" i="7"/>
  <c r="AD245" i="7"/>
  <c r="F233" i="7"/>
  <c r="AD285" i="7"/>
  <c r="Y289" i="7"/>
  <c r="Y285" i="7"/>
  <c r="F285" i="7"/>
  <c r="Z285" i="7" s="1"/>
  <c r="E300" i="7"/>
  <c r="Y300" i="7" s="1"/>
  <c r="E240" i="7"/>
  <c r="Y260" i="7" s="1"/>
  <c r="F225" i="7"/>
  <c r="Y297" i="7"/>
  <c r="Z245" i="7"/>
</calcChain>
</file>

<file path=xl/sharedStrings.xml><?xml version="1.0" encoding="utf-8"?>
<sst xmlns="http://schemas.openxmlformats.org/spreadsheetml/2006/main" count="201" uniqueCount="30">
  <si>
    <t>–</t>
  </si>
  <si>
    <t>Gesamt</t>
  </si>
  <si>
    <t>Geothermie</t>
  </si>
  <si>
    <t>sonstige</t>
  </si>
  <si>
    <t>Fotovoltaik</t>
  </si>
  <si>
    <t>Biomasse</t>
  </si>
  <si>
    <t>Wind</t>
  </si>
  <si>
    <t>Wasserkraft</t>
  </si>
  <si>
    <t>Pumpspeicher</t>
  </si>
  <si>
    <t>Erdgas</t>
  </si>
  <si>
    <t>Steinkohle</t>
  </si>
  <si>
    <t>Braunkohle</t>
  </si>
  <si>
    <t>Kernenergie</t>
  </si>
  <si>
    <t>gesamt</t>
  </si>
  <si>
    <t>einzeln</t>
  </si>
  <si>
    <t>anteilig</t>
  </si>
  <si>
    <t>absolut</t>
  </si>
  <si>
    <t>Auslastung</t>
  </si>
  <si>
    <t>Netto-Erzeugung</t>
  </si>
  <si>
    <t>Netto-Engpassleistung</t>
  </si>
  <si>
    <t>Allgemeine Stromversorgung Deutschlands nach BDEW</t>
  </si>
  <si>
    <t>Netzverluste</t>
  </si>
  <si>
    <t>Pumparbeit</t>
  </si>
  <si>
    <t>Wind an Land</t>
  </si>
  <si>
    <t>Wind auf See</t>
  </si>
  <si>
    <r>
      <rPr>
        <i/>
        <sz val="10"/>
        <rFont val="Times New Roman"/>
        <family val="1"/>
      </rPr>
      <t>η</t>
    </r>
    <r>
      <rPr>
        <sz val="10"/>
        <rFont val="Arial"/>
        <family val="2"/>
      </rPr>
      <t xml:space="preserve"> =</t>
    </r>
  </si>
  <si>
    <t>Hausmüll</t>
  </si>
  <si>
    <r>
      <rPr>
        <i/>
        <sz val="10"/>
        <color theme="4" tint="0.249977111117893"/>
        <rFont val="Times New Roman"/>
        <family val="1"/>
      </rPr>
      <t>η</t>
    </r>
    <r>
      <rPr>
        <sz val="10"/>
        <color theme="4" tint="0.249977111117893"/>
        <rFont val="Arial"/>
        <family val="2"/>
      </rPr>
      <t xml:space="preserve"> =</t>
    </r>
  </si>
  <si>
    <t>Mineralöl</t>
  </si>
  <si>
    <t>Müll &amp; sonstige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</si>
</sst>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0&quot; h/a&quot;"/>
    <numFmt numFmtId="168" formatCode="0.0&quot; TWh&quot;"/>
    <numFmt numFmtId="169" formatCode="0.0&quot; GW&quot;"/>
  </numFmts>
  <fonts count="35" x14ac:knownFonts="1">
    <font>
      <sz val="10"/>
      <name val="Arial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i/>
      <sz val="10"/>
      <name val="Times New Roman"/>
      <family val="1"/>
    </font>
    <font>
      <sz val="10"/>
      <color theme="4" tint="0.249977111117893"/>
      <name val="Arial"/>
      <family val="2"/>
    </font>
    <font>
      <sz val="10"/>
      <color rgb="FF00B05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5"/>
      <name val="Arial"/>
      <family val="2"/>
    </font>
    <font>
      <sz val="10"/>
      <color theme="3"/>
      <name val="Arial"/>
      <family val="2"/>
    </font>
    <font>
      <b/>
      <sz val="10"/>
      <color theme="5"/>
      <name val="Arial"/>
      <family val="2"/>
    </font>
    <font>
      <b/>
      <sz val="10"/>
      <color theme="4" tint="0.249977111117893"/>
      <name val="Arial"/>
      <family val="2"/>
    </font>
    <font>
      <b/>
      <sz val="10"/>
      <color rgb="FF00B050"/>
      <name val="Arial"/>
      <family val="2"/>
    </font>
    <font>
      <i/>
      <sz val="10"/>
      <color theme="4" tint="0.249977111117893"/>
      <name val="Times New Roman"/>
      <family val="1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8">
    <border>
      <left/>
      <right/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48">
    <xf numFmtId="0" fontId="0" fillId="0" borderId="0">
      <alignment vertical="center"/>
    </xf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91" applyNumberFormat="0" applyFill="0" applyAlignment="0" applyProtection="0"/>
    <xf numFmtId="0" fontId="8" fillId="0" borderId="92" applyNumberFormat="0" applyFill="0" applyAlignment="0" applyProtection="0"/>
    <xf numFmtId="0" fontId="9" fillId="0" borderId="9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94" applyNumberFormat="0" applyAlignment="0" applyProtection="0"/>
    <xf numFmtId="0" fontId="14" fillId="6" borderId="95" applyNumberFormat="0" applyAlignment="0" applyProtection="0"/>
    <xf numFmtId="0" fontId="15" fillId="6" borderId="94" applyNumberFormat="0" applyAlignment="0" applyProtection="0"/>
    <xf numFmtId="0" fontId="16" fillId="0" borderId="96" applyNumberFormat="0" applyFill="0" applyAlignment="0" applyProtection="0"/>
    <xf numFmtId="0" fontId="17" fillId="7" borderId="97" applyNumberFormat="0" applyAlignment="0" applyProtection="0"/>
    <xf numFmtId="0" fontId="18" fillId="0" borderId="0" applyNumberFormat="0" applyFill="0" applyBorder="0" applyAlignment="0" applyProtection="0"/>
    <xf numFmtId="0" fontId="5" fillId="8" borderId="9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34" fillId="0" borderId="0">
      <alignment vertical="center"/>
    </xf>
  </cellStyleXfs>
  <cellXfs count="159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61" xfId="0" applyFont="1" applyBorder="1" applyAlignment="1">
      <alignment horizontal="centerContinuous" vertical="center"/>
    </xf>
    <xf numFmtId="169" fontId="27" fillId="0" borderId="60" xfId="0" applyNumberFormat="1" applyFont="1" applyBorder="1" applyAlignment="1">
      <alignment horizontal="centerContinuous" vertical="center"/>
    </xf>
    <xf numFmtId="166" fontId="27" fillId="0" borderId="60" xfId="0" applyNumberFormat="1" applyFont="1" applyBorder="1" applyAlignment="1">
      <alignment horizontal="centerContinuous" vertical="center"/>
    </xf>
    <xf numFmtId="167" fontId="27" fillId="0" borderId="60" xfId="0" applyNumberFormat="1" applyFont="1" applyBorder="1" applyAlignment="1">
      <alignment horizontal="centerContinuous" vertical="center"/>
    </xf>
    <xf numFmtId="167" fontId="27" fillId="0" borderId="59" xfId="0" applyNumberFormat="1" applyFont="1" applyBorder="1" applyAlignment="1">
      <alignment horizontal="centerContinuous" vertical="center"/>
    </xf>
    <xf numFmtId="169" fontId="26" fillId="0" borderId="58" xfId="0" applyNumberFormat="1" applyFont="1" applyBorder="1" applyAlignment="1">
      <alignment horizontal="centerContinuous" vertical="center"/>
    </xf>
    <xf numFmtId="169" fontId="26" fillId="0" borderId="56" xfId="0" applyNumberFormat="1" applyFont="1" applyBorder="1" applyAlignment="1">
      <alignment horizontal="centerContinuous" vertical="center"/>
    </xf>
    <xf numFmtId="166" fontId="26" fillId="0" borderId="56" xfId="0" applyNumberFormat="1" applyFont="1" applyBorder="1" applyAlignment="1">
      <alignment horizontal="centerContinuous" vertical="center"/>
    </xf>
    <xf numFmtId="166" fontId="26" fillId="0" borderId="55" xfId="0" applyNumberFormat="1" applyFont="1" applyBorder="1" applyAlignment="1">
      <alignment horizontal="centerContinuous" vertical="center"/>
    </xf>
    <xf numFmtId="169" fontId="26" fillId="0" borderId="57" xfId="0" applyNumberFormat="1" applyFont="1" applyBorder="1" applyAlignment="1">
      <alignment horizontal="centerContinuous" vertical="center"/>
    </xf>
    <xf numFmtId="167" fontId="26" fillId="0" borderId="54" xfId="0" applyNumberFormat="1" applyFont="1" applyBorder="1" applyAlignment="1">
      <alignment horizontal="centerContinuous" vertical="center"/>
    </xf>
    <xf numFmtId="167" fontId="26" fillId="0" borderId="53" xfId="0" applyNumberFormat="1" applyFont="1" applyBorder="1" applyAlignment="1">
      <alignment horizontal="centerContinuous" vertical="center"/>
    </xf>
    <xf numFmtId="166" fontId="26" fillId="0" borderId="52" xfId="0" applyNumberFormat="1" applyFont="1" applyBorder="1" applyAlignment="1">
      <alignment horizontal="centerContinuous" vertical="center"/>
    </xf>
    <xf numFmtId="166" fontId="26" fillId="0" borderId="50" xfId="0" applyNumberFormat="1" applyFont="1" applyBorder="1" applyAlignment="1">
      <alignment horizontal="centerContinuous" vertical="center"/>
    </xf>
    <xf numFmtId="166" fontId="26" fillId="0" borderId="6" xfId="0" applyNumberFormat="1" applyFont="1" applyBorder="1" applyAlignment="1">
      <alignment horizontal="centerContinuous" vertical="center"/>
    </xf>
    <xf numFmtId="166" fontId="26" fillId="0" borderId="20" xfId="0" applyNumberFormat="1" applyFont="1" applyBorder="1" applyAlignment="1">
      <alignment horizontal="centerContinuous" vertical="center"/>
    </xf>
    <xf numFmtId="166" fontId="26" fillId="0" borderId="51" xfId="0" applyNumberFormat="1" applyFont="1" applyBorder="1" applyAlignment="1">
      <alignment horizontal="centerContinuous" vertical="center"/>
    </xf>
    <xf numFmtId="166" fontId="26" fillId="0" borderId="49" xfId="0" applyNumberFormat="1" applyFont="1" applyBorder="1" applyAlignment="1">
      <alignment horizontal="centerContinuous" vertical="center"/>
    </xf>
    <xf numFmtId="166" fontId="26" fillId="0" borderId="48" xfId="0" applyNumberFormat="1" applyFont="1" applyBorder="1" applyAlignment="1">
      <alignment horizontal="centerContinuous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5" xfId="0" applyNumberFormat="1" applyFont="1" applyBorder="1" applyAlignment="1">
      <alignment horizontal="center" vertical="center"/>
    </xf>
    <xf numFmtId="169" fontId="29" fillId="0" borderId="16" xfId="0" applyNumberFormat="1" applyFont="1" applyBorder="1">
      <alignment vertical="center"/>
    </xf>
    <xf numFmtId="168" fontId="29" fillId="0" borderId="18" xfId="0" applyNumberFormat="1" applyFont="1" applyBorder="1">
      <alignment vertical="center"/>
    </xf>
    <xf numFmtId="167" fontId="29" fillId="0" borderId="18" xfId="0" applyNumberFormat="1" applyFont="1" applyBorder="1">
      <alignment vertical="center"/>
    </xf>
    <xf numFmtId="169" fontId="29" fillId="0" borderId="13" xfId="0" applyNumberFormat="1" applyFont="1" applyBorder="1">
      <alignment vertical="center"/>
    </xf>
    <xf numFmtId="168" fontId="29" fillId="0" borderId="19" xfId="0" applyNumberFormat="1" applyFont="1" applyBorder="1">
      <alignment vertical="center"/>
    </xf>
    <xf numFmtId="167" fontId="29" fillId="0" borderId="19" xfId="0" applyNumberFormat="1" applyFont="1" applyBorder="1">
      <alignment vertical="center"/>
    </xf>
    <xf numFmtId="169" fontId="29" fillId="0" borderId="43" xfId="0" applyNumberFormat="1" applyFont="1" applyBorder="1">
      <alignment vertical="center"/>
    </xf>
    <xf numFmtId="168" fontId="29" fillId="0" borderId="41" xfId="0" applyNumberFormat="1" applyFont="1" applyBorder="1">
      <alignment vertical="center"/>
    </xf>
    <xf numFmtId="167" fontId="29" fillId="0" borderId="41" xfId="0" applyNumberFormat="1" applyFont="1" applyBorder="1">
      <alignment vertical="center"/>
    </xf>
    <xf numFmtId="0" fontId="31" fillId="0" borderId="78" xfId="0" applyFont="1" applyBorder="1">
      <alignment vertical="center"/>
    </xf>
    <xf numFmtId="0" fontId="31" fillId="0" borderId="84" xfId="0" applyFont="1" applyBorder="1">
      <alignment vertical="center"/>
    </xf>
    <xf numFmtId="0" fontId="32" fillId="0" borderId="39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62" xfId="0" applyFont="1" applyBorder="1">
      <alignment vertical="center"/>
    </xf>
    <xf numFmtId="0" fontId="26" fillId="0" borderId="69" xfId="0" applyFont="1" applyBorder="1">
      <alignment vertical="center"/>
    </xf>
    <xf numFmtId="0" fontId="26" fillId="0" borderId="31" xfId="0" applyFont="1" applyBorder="1">
      <alignment vertical="center"/>
    </xf>
    <xf numFmtId="169" fontId="26" fillId="0" borderId="30" xfId="0" applyNumberFormat="1" applyFont="1" applyBorder="1" applyAlignment="1">
      <alignment horizontal="centerContinuous" vertical="center"/>
    </xf>
    <xf numFmtId="169" fontId="26" fillId="0" borderId="29" xfId="0" applyNumberFormat="1" applyFont="1" applyBorder="1" applyAlignment="1">
      <alignment horizontal="centerContinuous" vertical="center"/>
    </xf>
    <xf numFmtId="166" fontId="26" fillId="0" borderId="28" xfId="0" applyNumberFormat="1" applyFont="1" applyBorder="1" applyAlignment="1">
      <alignment horizontal="centerContinuous" vertical="center"/>
    </xf>
    <xf numFmtId="166" fontId="26" fillId="0" borderId="27" xfId="0" applyNumberFormat="1" applyFont="1" applyBorder="1" applyAlignment="1">
      <alignment horizontal="centerContinuous" vertical="center"/>
    </xf>
    <xf numFmtId="168" fontId="26" fillId="0" borderId="26" xfId="0" applyNumberFormat="1" applyFont="1" applyBorder="1" applyAlignment="1">
      <alignment horizontal="centerContinuous" vertical="center"/>
    </xf>
    <xf numFmtId="168" fontId="26" fillId="0" borderId="29" xfId="0" applyNumberFormat="1" applyFont="1" applyBorder="1" applyAlignment="1">
      <alignment horizontal="centerContinuous" vertical="center"/>
    </xf>
    <xf numFmtId="167" fontId="26" fillId="0" borderId="26" xfId="0" applyNumberFormat="1" applyFont="1" applyBorder="1" applyAlignment="1">
      <alignment horizontal="centerContinuous" vertical="center"/>
    </xf>
    <xf numFmtId="167" fontId="26" fillId="0" borderId="25" xfId="0" applyNumberFormat="1" applyFont="1" applyBorder="1" applyAlignment="1">
      <alignment horizontal="centerContinuous" vertical="center"/>
    </xf>
    <xf numFmtId="166" fontId="33" fillId="0" borderId="90" xfId="0" applyNumberFormat="1" applyFont="1" applyBorder="1" applyAlignment="1">
      <alignment horizontal="right" vertical="center"/>
    </xf>
    <xf numFmtId="0" fontId="34" fillId="0" borderId="0" xfId="47">
      <alignment vertical="center"/>
    </xf>
    <xf numFmtId="166" fontId="23" fillId="0" borderId="90" xfId="0" applyNumberFormat="1" applyFont="1" applyBorder="1" applyAlignment="1">
      <alignment horizontal="right" vertical="center"/>
    </xf>
    <xf numFmtId="167" fontId="24" fillId="0" borderId="67" xfId="0" applyNumberFormat="1" applyFont="1" applyBorder="1" applyAlignment="1">
      <alignment horizontal="center" vertical="center"/>
    </xf>
    <xf numFmtId="0" fontId="25" fillId="0" borderId="14" xfId="0" applyFont="1" applyBorder="1">
      <alignment vertical="center"/>
    </xf>
    <xf numFmtId="168" fontId="24" fillId="0" borderId="19" xfId="0" applyNumberFormat="1" applyFont="1" applyBorder="1">
      <alignment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" fillId="0" borderId="0" xfId="0" applyFont="1">
      <alignment vertical="center"/>
    </xf>
    <xf numFmtId="169" fontId="1" fillId="0" borderId="0" xfId="0" applyNumberFormat="1" applyFont="1">
      <alignment vertical="center"/>
    </xf>
    <xf numFmtId="166" fontId="1" fillId="0" borderId="0" xfId="0" applyNumberFormat="1" applyFont="1">
      <alignment vertical="center"/>
    </xf>
    <xf numFmtId="168" fontId="1" fillId="0" borderId="0" xfId="0" applyNumberFormat="1" applyFont="1">
      <alignment vertical="center"/>
    </xf>
    <xf numFmtId="167" fontId="1" fillId="0" borderId="0" xfId="0" applyNumberFormat="1" applyFont="1">
      <alignment vertical="center"/>
    </xf>
    <xf numFmtId="0" fontId="25" fillId="0" borderId="15" xfId="0" applyFont="1" applyBorder="1">
      <alignment vertical="center"/>
    </xf>
    <xf numFmtId="169" fontId="29" fillId="0" borderId="47" xfId="0" applyNumberFormat="1" applyFont="1" applyBorder="1">
      <alignment vertical="center"/>
    </xf>
    <xf numFmtId="166" fontId="29" fillId="0" borderId="4" xfId="0" applyNumberFormat="1" applyFont="1" applyBorder="1">
      <alignment vertical="center"/>
    </xf>
    <xf numFmtId="166" fontId="29" fillId="0" borderId="46" xfId="0" applyNumberFormat="1" applyFont="1" applyBorder="1">
      <alignment vertical="center"/>
    </xf>
    <xf numFmtId="168" fontId="29" fillId="0" borderId="47" xfId="0" applyNumberFormat="1" applyFont="1" applyBorder="1">
      <alignment vertical="center"/>
    </xf>
    <xf numFmtId="167" fontId="29" fillId="0" borderId="45" xfId="0" applyNumberFormat="1" applyFont="1" applyBorder="1">
      <alignment vertical="center"/>
    </xf>
    <xf numFmtId="169" fontId="29" fillId="0" borderId="32" xfId="0" applyNumberFormat="1" applyFont="1" applyBorder="1">
      <alignment vertical="center"/>
    </xf>
    <xf numFmtId="166" fontId="29" fillId="0" borderId="2" xfId="0" applyNumberFormat="1" applyFont="1" applyBorder="1">
      <alignment vertical="center"/>
    </xf>
    <xf numFmtId="166" fontId="29" fillId="0" borderId="7" xfId="0" applyNumberFormat="1" applyFont="1" applyBorder="1">
      <alignment vertical="center"/>
    </xf>
    <xf numFmtId="168" fontId="29" fillId="0" borderId="32" xfId="0" applyNumberFormat="1" applyFont="1" applyBorder="1">
      <alignment vertical="center"/>
    </xf>
    <xf numFmtId="167" fontId="29" fillId="0" borderId="34" xfId="0" applyNumberFormat="1" applyFont="1" applyBorder="1">
      <alignment vertical="center"/>
    </xf>
    <xf numFmtId="167" fontId="29" fillId="0" borderId="24" xfId="0" applyNumberFormat="1" applyFont="1" applyBorder="1">
      <alignment vertical="center"/>
    </xf>
    <xf numFmtId="0" fontId="25" fillId="0" borderId="44" xfId="0" applyFont="1" applyBorder="1">
      <alignment vertical="center"/>
    </xf>
    <xf numFmtId="169" fontId="29" fillId="0" borderId="42" xfId="0" applyNumberFormat="1" applyFont="1" applyBorder="1">
      <alignment vertical="center"/>
    </xf>
    <xf numFmtId="166" fontId="29" fillId="0" borderId="10" xfId="0" applyNumberFormat="1" applyFont="1" applyBorder="1">
      <alignment vertical="center"/>
    </xf>
    <xf numFmtId="166" fontId="29" fillId="0" borderId="11" xfId="0" applyNumberFormat="1" applyFont="1" applyBorder="1">
      <alignment vertical="center"/>
    </xf>
    <xf numFmtId="168" fontId="29" fillId="0" borderId="42" xfId="0" applyNumberFormat="1" applyFont="1" applyBorder="1">
      <alignment vertical="center"/>
    </xf>
    <xf numFmtId="167" fontId="29" fillId="0" borderId="104" xfId="0" applyNumberFormat="1" applyFont="1" applyBorder="1">
      <alignment vertical="center"/>
    </xf>
    <xf numFmtId="167" fontId="29" fillId="0" borderId="40" xfId="0" applyNumberFormat="1" applyFont="1" applyBorder="1">
      <alignment vertical="center"/>
    </xf>
    <xf numFmtId="169" fontId="23" fillId="0" borderId="79" xfId="0" applyNumberFormat="1" applyFont="1" applyBorder="1" applyAlignment="1">
      <alignment horizontal="centerContinuous" vertical="center"/>
    </xf>
    <xf numFmtId="168" fontId="23" fillId="0" borderId="80" xfId="0" applyNumberFormat="1" applyFont="1" applyBorder="1" applyAlignment="1">
      <alignment horizontal="centerContinuous" vertical="center"/>
    </xf>
    <xf numFmtId="166" fontId="23" fillId="0" borderId="81" xfId="0" applyNumberFormat="1" applyFont="1" applyBorder="1">
      <alignment vertical="center"/>
    </xf>
    <xf numFmtId="166" fontId="23" fillId="0" borderId="83" xfId="0" applyNumberFormat="1" applyFont="1" applyBorder="1" applyAlignment="1">
      <alignment horizontal="centerContinuous" vertical="center"/>
    </xf>
    <xf numFmtId="168" fontId="23" fillId="0" borderId="82" xfId="0" applyNumberFormat="1" applyFont="1" applyBorder="1" applyAlignment="1">
      <alignment horizontal="centerContinuous" vertical="center"/>
    </xf>
    <xf numFmtId="166" fontId="23" fillId="0" borderId="81" xfId="0" applyNumberFormat="1" applyFont="1" applyBorder="1" applyAlignment="1">
      <alignment horizontal="centerContinuous" vertical="center"/>
    </xf>
    <xf numFmtId="168" fontId="23" fillId="0" borderId="83" xfId="0" applyNumberFormat="1" applyFont="1" applyBorder="1" applyAlignment="1">
      <alignment horizontal="centerContinuous" vertical="center"/>
    </xf>
    <xf numFmtId="167" fontId="23" fillId="0" borderId="100" xfId="0" applyNumberFormat="1" applyFont="1" applyBorder="1">
      <alignment vertical="center"/>
    </xf>
    <xf numFmtId="168" fontId="23" fillId="0" borderId="101" xfId="0" applyNumberFormat="1" applyFont="1" applyBorder="1">
      <alignment vertical="center"/>
    </xf>
    <xf numFmtId="168" fontId="23" fillId="0" borderId="82" xfId="0" applyNumberFormat="1" applyFont="1" applyBorder="1">
      <alignment vertical="center"/>
    </xf>
    <xf numFmtId="168" fontId="23" fillId="0" borderId="80" xfId="0" applyNumberFormat="1" applyFont="1" applyBorder="1">
      <alignment vertical="center"/>
    </xf>
    <xf numFmtId="168" fontId="23" fillId="0" borderId="83" xfId="0" applyNumberFormat="1" applyFont="1" applyBorder="1">
      <alignment vertical="center"/>
    </xf>
    <xf numFmtId="169" fontId="23" fillId="0" borderId="89" xfId="0" applyNumberFormat="1" applyFont="1" applyBorder="1" applyAlignment="1">
      <alignment horizontal="center" vertical="center"/>
    </xf>
    <xf numFmtId="166" fontId="23" fillId="0" borderId="90" xfId="0" applyNumberFormat="1" applyFont="1" applyBorder="1" applyAlignment="1">
      <alignment horizontal="left" vertical="center"/>
    </xf>
    <xf numFmtId="166" fontId="23" fillId="0" borderId="88" xfId="0" applyNumberFormat="1" applyFont="1" applyBorder="1" applyAlignment="1">
      <alignment horizontal="left" vertical="center"/>
    </xf>
    <xf numFmtId="168" fontId="23" fillId="0" borderId="85" xfId="0" applyNumberFormat="1" applyFont="1" applyBorder="1" applyAlignment="1">
      <alignment horizontal="centerContinuous" vertical="center"/>
    </xf>
    <xf numFmtId="168" fontId="23" fillId="0" borderId="86" xfId="0" applyNumberFormat="1" applyFont="1" applyBorder="1" applyAlignment="1">
      <alignment horizontal="centerContinuous" vertical="center"/>
    </xf>
    <xf numFmtId="166" fontId="23" fillId="0" borderId="87" xfId="0" applyNumberFormat="1" applyFont="1" applyBorder="1" applyAlignment="1">
      <alignment horizontal="centerContinuous" vertical="center"/>
    </xf>
    <xf numFmtId="168" fontId="23" fillId="0" borderId="88" xfId="0" applyNumberFormat="1" applyFont="1" applyBorder="1" applyAlignment="1">
      <alignment horizontal="centerContinuous" vertical="center"/>
    </xf>
    <xf numFmtId="167" fontId="23" fillId="0" borderId="102" xfId="0" applyNumberFormat="1" applyFont="1" applyBorder="1" applyAlignment="1">
      <alignment horizontal="center" vertical="center"/>
    </xf>
    <xf numFmtId="168" fontId="23" fillId="0" borderId="103" xfId="0" applyNumberFormat="1" applyFont="1" applyBorder="1" applyAlignment="1">
      <alignment horizontal="center" vertical="center"/>
    </xf>
    <xf numFmtId="168" fontId="23" fillId="0" borderId="85" xfId="0" applyNumberFormat="1" applyFont="1" applyBorder="1">
      <alignment vertical="center"/>
    </xf>
    <xf numFmtId="168" fontId="23" fillId="0" borderId="86" xfId="0" applyNumberFormat="1" applyFont="1" applyBorder="1">
      <alignment vertical="center"/>
    </xf>
    <xf numFmtId="166" fontId="23" fillId="0" borderId="87" xfId="0" applyNumberFormat="1" applyFont="1" applyBorder="1">
      <alignment vertical="center"/>
    </xf>
    <xf numFmtId="168" fontId="23" fillId="0" borderId="88" xfId="0" applyNumberFormat="1" applyFont="1" applyBorder="1">
      <alignment vertical="center"/>
    </xf>
    <xf numFmtId="169" fontId="24" fillId="0" borderId="38" xfId="0" applyNumberFormat="1" applyFont="1" applyBorder="1">
      <alignment vertical="center"/>
    </xf>
    <xf numFmtId="169" fontId="24" fillId="0" borderId="37" xfId="0" applyNumberFormat="1" applyFont="1" applyBorder="1">
      <alignment vertical="center"/>
    </xf>
    <xf numFmtId="166" fontId="24" fillId="0" borderId="8" xfId="0" applyNumberFormat="1" applyFont="1" applyBorder="1">
      <alignment vertical="center"/>
    </xf>
    <xf numFmtId="166" fontId="24" fillId="0" borderId="9" xfId="0" applyNumberFormat="1" applyFont="1" applyBorder="1">
      <alignment vertical="center"/>
    </xf>
    <xf numFmtId="168" fontId="24" fillId="0" borderId="36" xfId="0" applyNumberFormat="1" applyFont="1" applyBorder="1">
      <alignment vertical="center"/>
    </xf>
    <xf numFmtId="168" fontId="24" fillId="0" borderId="37" xfId="0" applyNumberFormat="1" applyFont="1" applyBorder="1">
      <alignment vertical="center"/>
    </xf>
    <xf numFmtId="167" fontId="24" fillId="0" borderId="36" xfId="0" applyNumberFormat="1" applyFont="1" applyBorder="1">
      <alignment vertical="center"/>
    </xf>
    <xf numFmtId="167" fontId="24" fillId="0" borderId="35" xfId="0" applyNumberFormat="1" applyFont="1" applyBorder="1">
      <alignment vertical="center"/>
    </xf>
    <xf numFmtId="169" fontId="24" fillId="0" borderId="22" xfId="0" applyNumberFormat="1" applyFont="1" applyBorder="1">
      <alignment vertical="center"/>
    </xf>
    <xf numFmtId="169" fontId="24" fillId="0" borderId="32" xfId="0" applyNumberFormat="1" applyFont="1" applyBorder="1">
      <alignment vertical="center"/>
    </xf>
    <xf numFmtId="166" fontId="24" fillId="0" borderId="23" xfId="0" applyNumberFormat="1" applyFont="1" applyBorder="1">
      <alignment vertical="center"/>
    </xf>
    <xf numFmtId="166" fontId="24" fillId="0" borderId="7" xfId="0" applyNumberFormat="1" applyFont="1" applyBorder="1">
      <alignment vertical="center"/>
    </xf>
    <xf numFmtId="168" fontId="24" fillId="0" borderId="24" xfId="0" quotePrefix="1" applyNumberFormat="1" applyFont="1" applyBorder="1">
      <alignment vertical="center"/>
    </xf>
    <xf numFmtId="168" fontId="24" fillId="0" borderId="32" xfId="0" applyNumberFormat="1" applyFont="1" applyBorder="1">
      <alignment vertical="center"/>
    </xf>
    <xf numFmtId="166" fontId="24" fillId="0" borderId="2" xfId="0" applyNumberFormat="1" applyFont="1" applyBorder="1">
      <alignment vertical="center"/>
    </xf>
    <xf numFmtId="167" fontId="24" fillId="0" borderId="24" xfId="0" applyNumberFormat="1" applyFont="1" applyBorder="1">
      <alignment vertical="center"/>
    </xf>
    <xf numFmtId="167" fontId="24" fillId="0" borderId="34" xfId="0" applyNumberFormat="1" applyFont="1" applyBorder="1">
      <alignment vertical="center"/>
    </xf>
    <xf numFmtId="169" fontId="24" fillId="0" borderId="22" xfId="0" applyNumberFormat="1" applyFont="1" applyBorder="1">
      <alignment vertical="center"/>
    </xf>
    <xf numFmtId="168" fontId="24" fillId="0" borderId="24" xfId="0" quotePrefix="1" applyNumberFormat="1" applyFont="1" applyBorder="1">
      <alignment vertical="center"/>
    </xf>
    <xf numFmtId="167" fontId="24" fillId="0" borderId="19" xfId="0" applyNumberFormat="1" applyFont="1" applyBorder="1">
      <alignment vertical="center"/>
    </xf>
    <xf numFmtId="169" fontId="24" fillId="0" borderId="106" xfId="0" applyNumberFormat="1" applyFont="1" applyBorder="1">
      <alignment vertical="center"/>
    </xf>
    <xf numFmtId="168" fontId="24" fillId="0" borderId="107" xfId="0" quotePrefix="1" applyNumberFormat="1" applyFont="1" applyBorder="1">
      <alignment vertical="center"/>
    </xf>
    <xf numFmtId="169" fontId="24" fillId="0" borderId="13" xfId="0" applyNumberFormat="1" applyFont="1" applyBorder="1">
      <alignment vertical="center"/>
    </xf>
    <xf numFmtId="167" fontId="24" fillId="0" borderId="33" xfId="0" applyNumberFormat="1" applyFont="1" applyBorder="1">
      <alignment vertical="center"/>
    </xf>
    <xf numFmtId="169" fontId="24" fillId="0" borderId="63" xfId="0" applyNumberFormat="1" applyFont="1" applyBorder="1">
      <alignment vertical="center"/>
    </xf>
    <xf numFmtId="169" fontId="24" fillId="0" borderId="64" xfId="0" applyNumberFormat="1" applyFont="1" applyBorder="1">
      <alignment vertical="center"/>
    </xf>
    <xf numFmtId="166" fontId="24" fillId="0" borderId="65" xfId="0" applyNumberFormat="1" applyFont="1" applyBorder="1">
      <alignment vertical="center"/>
    </xf>
    <xf numFmtId="166" fontId="24" fillId="0" borderId="66" xfId="0" applyNumberFormat="1" applyFont="1" applyBorder="1">
      <alignment vertical="center"/>
    </xf>
    <xf numFmtId="168" fontId="24" fillId="0" borderId="67" xfId="0" applyNumberFormat="1" applyFont="1" applyBorder="1">
      <alignment vertical="center"/>
    </xf>
    <xf numFmtId="168" fontId="24" fillId="0" borderId="64" xfId="0" applyNumberFormat="1" applyFont="1" applyBorder="1">
      <alignment vertical="center"/>
    </xf>
    <xf numFmtId="167" fontId="24" fillId="0" borderId="105" xfId="0" applyNumberFormat="1" applyFont="1" applyBorder="1">
      <alignment vertical="center"/>
    </xf>
    <xf numFmtId="166" fontId="24" fillId="0" borderId="65" xfId="0" applyNumberFormat="1" applyFont="1" applyBorder="1" applyAlignment="1">
      <alignment horizontal="center" vertical="center"/>
    </xf>
    <xf numFmtId="167" fontId="24" fillId="0" borderId="68" xfId="0" applyNumberFormat="1" applyFont="1" applyBorder="1" applyAlignment="1">
      <alignment horizontal="center" vertical="center"/>
    </xf>
    <xf numFmtId="169" fontId="1" fillId="0" borderId="75" xfId="0" applyNumberFormat="1" applyFont="1" applyBorder="1" applyAlignment="1">
      <alignment horizontal="center" vertical="center"/>
    </xf>
    <xf numFmtId="168" fontId="1" fillId="0" borderId="76" xfId="0" applyNumberFormat="1" applyFont="1" applyBorder="1" applyAlignment="1">
      <alignment horizontal="center" vertical="center"/>
    </xf>
    <xf numFmtId="166" fontId="1" fillId="0" borderId="77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8" fontId="1" fillId="0" borderId="73" xfId="0" applyNumberFormat="1" applyFont="1" applyBorder="1" applyAlignment="1">
      <alignment horizontal="centerContinuous" vertical="center"/>
    </xf>
    <xf numFmtId="168" fontId="1" fillId="0" borderId="70" xfId="0" applyNumberFormat="1" applyFont="1" applyBorder="1" applyAlignment="1">
      <alignment horizontal="centerContinuous" vertical="center"/>
    </xf>
    <xf numFmtId="166" fontId="1" fillId="0" borderId="71" xfId="0" applyNumberFormat="1" applyFont="1" applyBorder="1" applyAlignment="1">
      <alignment horizontal="centerContinuous" vertical="center"/>
    </xf>
    <xf numFmtId="166" fontId="1" fillId="0" borderId="72" xfId="0" applyNumberFormat="1" applyFont="1" applyBorder="1" applyAlignment="1">
      <alignment horizontal="centerContinuous" vertical="center"/>
    </xf>
    <xf numFmtId="167" fontId="1" fillId="0" borderId="73" xfId="0" applyNumberFormat="1" applyFont="1" applyBorder="1" applyAlignment="1">
      <alignment horizontal="centerContinuous" vertical="center"/>
    </xf>
    <xf numFmtId="167" fontId="1" fillId="0" borderId="74" xfId="0" applyNumberFormat="1" applyFont="1" applyBorder="1" applyAlignment="1">
      <alignment horizontal="centerContinuous" vertical="center"/>
    </xf>
    <xf numFmtId="167" fontId="1" fillId="0" borderId="73" xfId="0" applyNumberFormat="1" applyFont="1" applyBorder="1" applyAlignment="1">
      <alignment horizontal="center" vertical="center"/>
    </xf>
    <xf numFmtId="167" fontId="1" fillId="0" borderId="74" xfId="0" applyNumberFormat="1" applyFont="1" applyBorder="1" applyAlignment="1">
      <alignment horizontal="center" vertical="center"/>
    </xf>
    <xf numFmtId="168" fontId="24" fillId="0" borderId="19" xfId="0" quotePrefix="1" applyNumberFormat="1" applyFont="1" applyBorder="1">
      <alignment vertical="center"/>
    </xf>
    <xf numFmtId="168" fontId="24" fillId="0" borderId="67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167" fontId="24" fillId="0" borderId="19" xfId="0" applyNumberFormat="1" applyFon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 vertical="center"/>
    </xf>
    <xf numFmtId="169" fontId="24" fillId="0" borderId="13" xfId="0" applyNumberFormat="1" applyFont="1" applyBorder="1" applyAlignment="1">
      <alignment horizontal="center" vertical="center"/>
    </xf>
    <xf numFmtId="167" fontId="24" fillId="0" borderId="67" xfId="0" applyNumberFormat="1" applyFont="1" applyBorder="1">
      <alignment vertical="center"/>
    </xf>
    <xf numFmtId="168" fontId="24" fillId="33" borderId="19" xfId="0" applyNumberFormat="1" applyFont="1" applyFill="1" applyBorder="1">
      <alignment vertical="center"/>
    </xf>
  </cellXfs>
  <cellStyles count="4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3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2" builtinId="3" hidden="1"/>
    <cellStyle name="Neutral" xfId="13" builtinId="28" hidden="1"/>
    <cellStyle name="Normal" xfId="47" xr:uid="{00000000-0005-0000-0000-000021000000}"/>
    <cellStyle name="Notiz" xfId="20" builtinId="10" hidden="1"/>
    <cellStyle name="Prozent" xfId="1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4" builtinId="4" hidden="1"/>
    <cellStyle name="Währung [0]" xfId="5" builtinId="7" hidden="1"/>
    <cellStyle name="Warnender Text" xfId="19" builtinId="11" hidden="1"/>
    <cellStyle name="Zelle überprüfen" xfId="18" builtinId="23" hidden="1"/>
  </cellStyles>
  <dxfs count="6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rtr&#228;ge/Transformers20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es/Stromzahlen2009BD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Tab"/>
      <sheetName val="GerDiaPub"/>
      <sheetName val="GerDiaRail"/>
      <sheetName val="TraLoss"/>
      <sheetName val="LossEv2012"/>
      <sheetName val="PowerTab"/>
      <sheetName val="PowerDia"/>
      <sheetName val="RiedelTab"/>
      <sheetName val="RiedelDia"/>
      <sheetName val="Schorch"/>
      <sheetName val="LoadTab"/>
      <sheetName val="LoadDiaLosses"/>
      <sheetName val="LoadDiaEffy"/>
      <sheetName val="PricesTab"/>
      <sheetName val="PricesDia"/>
      <sheetName val="TypicalValues"/>
      <sheetName val="deutsch"/>
      <sheetName val="English"/>
      <sheetName val="Vie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F17">
            <v>10</v>
          </cell>
        </row>
        <row r="18">
          <cell r="F18">
            <v>242</v>
          </cell>
        </row>
        <row r="19">
          <cell r="F19">
            <v>8</v>
          </cell>
        </row>
        <row r="20">
          <cell r="F2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mzahlen 2009"/>
      <sheetName val="Kenndaten"/>
      <sheetName val="1 Primärenergieverbrauch"/>
      <sheetName val="2 Energieeinsatz ges. Stromerz."/>
      <sheetName val="3 Netto-Engpassleistung"/>
      <sheetName val="4 Netto-Erzeugung"/>
      <sheetName val="5 Netto-Erzeugung Kraftwerke"/>
      <sheetName val="6 Ges. Elek.wirt."/>
      <sheetName val="7 Bilanz Stromvers."/>
      <sheetName val="8 Netto-Stromverbrauch Kunden"/>
      <sheetName val="9 Wirtschaftl. Entwicklung SV"/>
      <sheetName val="10 Stromaustausch mit Ausland"/>
      <sheetName val="11 Netto-Kraftwerksleistung"/>
      <sheetName val="12 Europäische Stromzahlen"/>
      <sheetName val="Impressu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10020</v>
          </cell>
        </row>
      </sheetData>
      <sheetData sheetId="5">
        <row r="3">
          <cell r="C3">
            <v>465034</v>
          </cell>
        </row>
      </sheetData>
      <sheetData sheetId="6">
        <row r="5">
          <cell r="C5">
            <v>3967</v>
          </cell>
        </row>
      </sheetData>
      <sheetData sheetId="7" refreshError="1"/>
      <sheetData sheetId="8">
        <row r="6">
          <cell r="C6">
            <v>5375</v>
          </cell>
        </row>
      </sheetData>
      <sheetData sheetId="9">
        <row r="5">
          <cell r="C5">
            <v>204686</v>
          </cell>
        </row>
      </sheetData>
      <sheetData sheetId="10" refreshError="1"/>
      <sheetData sheetId="11">
        <row r="5">
          <cell r="C5">
            <v>38131</v>
          </cell>
        </row>
      </sheetData>
      <sheetData sheetId="12">
        <row r="3">
          <cell r="D3">
            <v>4300</v>
          </cell>
          <cell r="E3">
            <v>4300</v>
          </cell>
        </row>
        <row r="4">
          <cell r="D4">
            <v>5710</v>
          </cell>
          <cell r="E4">
            <v>5710</v>
          </cell>
        </row>
        <row r="7">
          <cell r="D7">
            <v>20430</v>
          </cell>
          <cell r="E7">
            <v>20470</v>
          </cell>
        </row>
        <row r="8">
          <cell r="D8">
            <v>19780</v>
          </cell>
          <cell r="E8">
            <v>19860</v>
          </cell>
        </row>
        <row r="9">
          <cell r="D9">
            <v>25305</v>
          </cell>
          <cell r="E9">
            <v>25305</v>
          </cell>
        </row>
        <row r="10">
          <cell r="D10">
            <v>5750</v>
          </cell>
          <cell r="E10">
            <v>5700</v>
          </cell>
        </row>
        <row r="11">
          <cell r="D11">
            <v>17055</v>
          </cell>
          <cell r="E11">
            <v>19300</v>
          </cell>
        </row>
        <row r="12">
          <cell r="D12">
            <v>3350</v>
          </cell>
          <cell r="E12">
            <v>3508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D3A5-0E0D-46D0-8400-2C53C7ED5C71}">
  <sheetPr codeName="Tabelle4">
    <tabColor theme="1"/>
    <pageSetUpPr autoPageBreaks="0"/>
  </sheetPr>
  <dimension ref="A1:AF301"/>
  <sheetViews>
    <sheetView showGridLines="0" tabSelected="1" topLeftCell="A262" workbookViewId="0">
      <selection activeCell="A300" sqref="A300"/>
    </sheetView>
  </sheetViews>
  <sheetFormatPr baseColWidth="10" defaultColWidth="9.7109375" defaultRowHeight="12.75" x14ac:dyDescent="0.2"/>
  <cols>
    <col min="1" max="1" width="1.7109375" style="57" customWidth="1"/>
    <col min="2" max="2" width="14.7109375" style="1" customWidth="1"/>
    <col min="3" max="4" width="9.7109375" style="58" customWidth="1"/>
    <col min="5" max="6" width="9.7109375" style="59" customWidth="1"/>
    <col min="7" max="8" width="9.7109375" style="60" customWidth="1"/>
    <col min="9" max="10" width="9.7109375" style="59" customWidth="1"/>
    <col min="11" max="12" width="9.7109375" style="61" customWidth="1"/>
    <col min="13" max="13" width="1.7109375" style="57" customWidth="1"/>
    <col min="14" max="20" width="9.7109375" style="57" hidden="1" customWidth="1"/>
    <col min="21" max="21" width="1.7109375" style="57" customWidth="1"/>
    <col min="22" max="22" width="14.7109375" style="57" customWidth="1"/>
    <col min="23" max="25" width="9.7109375" style="57" customWidth="1"/>
    <col min="26" max="16384" width="9.7109375" style="57"/>
  </cols>
  <sheetData>
    <row r="1" spans="1:12" ht="5.0999999999999996" customHeight="1" thickBot="1" x14ac:dyDescent="0.25">
      <c r="A1" s="48"/>
    </row>
    <row r="2" spans="1:12" ht="19.5" customHeight="1" thickTop="1" thickBot="1" x14ac:dyDescent="0.25">
      <c r="B2" s="2" t="s">
        <v>20</v>
      </c>
      <c r="C2" s="3"/>
      <c r="D2" s="3"/>
      <c r="E2" s="4"/>
      <c r="F2" s="4"/>
      <c r="G2" s="3"/>
      <c r="H2" s="3"/>
      <c r="I2" s="4"/>
      <c r="J2" s="4"/>
      <c r="K2" s="5"/>
      <c r="L2" s="6"/>
    </row>
    <row r="3" spans="1:12" ht="14.25" customHeight="1" thickTop="1" x14ac:dyDescent="0.2">
      <c r="B3" s="55">
        <v>2004</v>
      </c>
      <c r="C3" s="7" t="s">
        <v>19</v>
      </c>
      <c r="D3" s="8"/>
      <c r="E3" s="9"/>
      <c r="F3" s="10"/>
      <c r="G3" s="11" t="s">
        <v>18</v>
      </c>
      <c r="H3" s="8"/>
      <c r="I3" s="9"/>
      <c r="J3" s="10"/>
      <c r="K3" s="12" t="s">
        <v>17</v>
      </c>
      <c r="L3" s="13"/>
    </row>
    <row r="4" spans="1:12" ht="14.25" customHeight="1" thickBot="1" x14ac:dyDescent="0.25">
      <c r="B4" s="56"/>
      <c r="C4" s="14" t="s">
        <v>16</v>
      </c>
      <c r="D4" s="15"/>
      <c r="E4" s="16" t="s">
        <v>15</v>
      </c>
      <c r="F4" s="17"/>
      <c r="G4" s="18" t="str">
        <f>C4</f>
        <v>absolut</v>
      </c>
      <c r="H4" s="15"/>
      <c r="I4" s="19" t="str">
        <f>E4</f>
        <v>anteilig</v>
      </c>
      <c r="J4" s="20"/>
      <c r="K4" s="21" t="s">
        <v>14</v>
      </c>
      <c r="L4" s="22" t="s">
        <v>13</v>
      </c>
    </row>
    <row r="5" spans="1:12" ht="14.25" customHeight="1" thickTop="1" x14ac:dyDescent="0.2">
      <c r="B5" s="62" t="s">
        <v>12</v>
      </c>
      <c r="C5" s="23">
        <v>20.643000000000001</v>
      </c>
      <c r="D5" s="63">
        <f>SUM(C5:C10)</f>
        <v>91.169000000000011</v>
      </c>
      <c r="E5" s="64">
        <f>C5/C$20</f>
        <v>0.17156577560729114</v>
      </c>
      <c r="F5" s="65">
        <f>SUM(E5:E10)</f>
        <v>0.7577135201444134</v>
      </c>
      <c r="G5" s="24">
        <v>158.37799999999999</v>
      </c>
      <c r="H5" s="66">
        <f>SUM(G5:G10)</f>
        <v>474.983</v>
      </c>
      <c r="I5" s="64">
        <f>G5/G$20</f>
        <v>0.29655747067249622</v>
      </c>
      <c r="J5" s="65">
        <f>SUM(I5:I10)</f>
        <v>0.88938966960331789</v>
      </c>
      <c r="K5" s="25">
        <f>G5/C5*1000</f>
        <v>7672.237562369809</v>
      </c>
      <c r="L5" s="67">
        <f>H5/D5*1000</f>
        <v>5209.9178448814828</v>
      </c>
    </row>
    <row r="6" spans="1:12" ht="14.25" customHeight="1" x14ac:dyDescent="0.2">
      <c r="B6" s="51" t="s">
        <v>11</v>
      </c>
      <c r="C6" s="26">
        <v>19.7</v>
      </c>
      <c r="D6" s="68"/>
      <c r="E6" s="69">
        <f>C6/C$20</f>
        <v>0.16372842026176598</v>
      </c>
      <c r="F6" s="70"/>
      <c r="G6" s="27">
        <v>143.03</v>
      </c>
      <c r="H6" s="71"/>
      <c r="I6" s="69">
        <f>G6/G$20</f>
        <v>0.26781885760829877</v>
      </c>
      <c r="J6" s="70"/>
      <c r="K6" s="28">
        <f>G6/C6*1000</f>
        <v>7260.4060913705589</v>
      </c>
      <c r="L6" s="72"/>
    </row>
    <row r="7" spans="1:12" ht="14.25" customHeight="1" x14ac:dyDescent="0.2">
      <c r="B7" s="51" t="s">
        <v>10</v>
      </c>
      <c r="C7" s="26">
        <v>25.07</v>
      </c>
      <c r="D7" s="68"/>
      <c r="E7" s="69">
        <f>C7/C$20</f>
        <v>0.20835895918591235</v>
      </c>
      <c r="F7" s="70"/>
      <c r="G7" s="27">
        <v>116.64</v>
      </c>
      <c r="H7" s="71"/>
      <c r="I7" s="69">
        <f>G7/G$20</f>
        <v>0.21840447144956979</v>
      </c>
      <c r="J7" s="70"/>
      <c r="K7" s="28">
        <f>G7/C7*1000</f>
        <v>4652.5727961707225</v>
      </c>
      <c r="L7" s="72"/>
    </row>
    <row r="8" spans="1:12" ht="14.25" customHeight="1" x14ac:dyDescent="0.2">
      <c r="B8" s="51" t="s">
        <v>9</v>
      </c>
      <c r="C8" s="26">
        <v>16.678000000000001</v>
      </c>
      <c r="D8" s="68"/>
      <c r="E8" s="69">
        <f>C8/C$20</f>
        <v>0.13861231437186464</v>
      </c>
      <c r="F8" s="70"/>
      <c r="G8" s="27">
        <v>46.432000000000002</v>
      </c>
      <c r="H8" s="71"/>
      <c r="I8" s="69">
        <f>G8/G$20</f>
        <v>8.6942356124369208E-2</v>
      </c>
      <c r="J8" s="70"/>
      <c r="K8" s="28">
        <f>G8/C8*1000</f>
        <v>2784.0268617340207</v>
      </c>
      <c r="L8" s="72"/>
    </row>
    <row r="9" spans="1:12" ht="14.25" customHeight="1" x14ac:dyDescent="0.2">
      <c r="B9" s="51" t="s">
        <v>28</v>
      </c>
      <c r="C9" s="26">
        <v>5.9</v>
      </c>
      <c r="D9" s="68"/>
      <c r="E9" s="69">
        <f>C9/C$20</f>
        <v>4.9035415205300477E-2</v>
      </c>
      <c r="F9" s="70"/>
      <c r="G9" s="27">
        <v>3.7349999999999999</v>
      </c>
      <c r="H9" s="71"/>
      <c r="I9" s="69">
        <f>G9/G$20</f>
        <v>6.9936617015101434E-3</v>
      </c>
      <c r="J9" s="70"/>
      <c r="K9" s="28">
        <f>G9/C9*1000</f>
        <v>633.05084745762713</v>
      </c>
      <c r="L9" s="72"/>
    </row>
    <row r="10" spans="1:12" ht="14.25" customHeight="1" x14ac:dyDescent="0.2">
      <c r="B10" s="74" t="s">
        <v>3</v>
      </c>
      <c r="C10" s="29">
        <v>3.1779999999999999</v>
      </c>
      <c r="D10" s="75"/>
      <c r="E10" s="76">
        <f>C10/C$20</f>
        <v>2.6412635512278796E-2</v>
      </c>
      <c r="F10" s="77"/>
      <c r="G10" s="30">
        <v>6.7679999999999998</v>
      </c>
      <c r="H10" s="78"/>
      <c r="I10" s="76">
        <f>G10/G$20</f>
        <v>1.2672852047073802E-2</v>
      </c>
      <c r="J10" s="77"/>
      <c r="K10" s="31">
        <f>G10/C10*1000</f>
        <v>2129.6412838263059</v>
      </c>
      <c r="L10" s="80"/>
    </row>
    <row r="11" spans="1:12" ht="14.25" customHeight="1" x14ac:dyDescent="0.2">
      <c r="B11" s="32" t="s">
        <v>8</v>
      </c>
      <c r="C11" s="81">
        <v>5.71</v>
      </c>
      <c r="D11" s="82"/>
      <c r="E11" s="83">
        <f>C11/C$20</f>
        <v>4.7456308613943336E-2</v>
      </c>
      <c r="F11" s="84"/>
      <c r="G11" s="85">
        <v>6.2729999999999997</v>
      </c>
      <c r="H11" s="82"/>
      <c r="I11" s="86">
        <f>G11/G$20</f>
        <v>1.1745981219162819E-2</v>
      </c>
      <c r="J11" s="87"/>
      <c r="K11" s="88">
        <f>G11/C11*1000</f>
        <v>1098.5989492119088</v>
      </c>
      <c r="L11" s="89"/>
    </row>
    <row r="12" spans="1:12" ht="14.25" customHeight="1" x14ac:dyDescent="0.2">
      <c r="B12" s="33" t="s">
        <v>22</v>
      </c>
      <c r="C12" s="93"/>
      <c r="D12" s="49" t="s">
        <v>27</v>
      </c>
      <c r="E12" s="94">
        <f>G11/G12</f>
        <v>0.67379162191192254</v>
      </c>
      <c r="F12" s="95"/>
      <c r="G12" s="96">
        <v>9.31</v>
      </c>
      <c r="H12" s="97"/>
      <c r="I12" s="98">
        <f>G12/G$20</f>
        <v>1.7432661430002525E-2</v>
      </c>
      <c r="J12" s="99"/>
      <c r="K12" s="100" t="s">
        <v>0</v>
      </c>
      <c r="L12" s="101"/>
    </row>
    <row r="13" spans="1:12" ht="14.25" customHeight="1" x14ac:dyDescent="0.2">
      <c r="B13" s="34" t="s">
        <v>7</v>
      </c>
      <c r="C13" s="106">
        <v>4.7649999999999997</v>
      </c>
      <c r="D13" s="107">
        <f>SUM(C13:C18)</f>
        <v>23.4422</v>
      </c>
      <c r="E13" s="108">
        <f>C13/C$20</f>
        <v>3.9602331093772328E-2</v>
      </c>
      <c r="F13" s="109">
        <f>SUM(E13:E18)</f>
        <v>0.19483017124164317</v>
      </c>
      <c r="G13" s="110">
        <v>19.46</v>
      </c>
      <c r="H13" s="111">
        <f>SUM(G13:G18)</f>
        <v>52.798999999999999</v>
      </c>
      <c r="I13" s="108">
        <f>G13/G$20</f>
        <v>3.6438194567975209E-2</v>
      </c>
      <c r="J13" s="109">
        <f>SUM(I13:I18)</f>
        <v>9.886434917751917E-2</v>
      </c>
      <c r="K13" s="112">
        <f>G13/C13*1000</f>
        <v>4083.9454354669469</v>
      </c>
      <c r="L13" s="113">
        <f>H13/D13*1000</f>
        <v>2252.3056709694483</v>
      </c>
    </row>
    <row r="14" spans="1:12" ht="14.25" customHeight="1" x14ac:dyDescent="0.2">
      <c r="B14" s="35" t="s">
        <v>6</v>
      </c>
      <c r="C14" s="128">
        <v>16.629000000000001</v>
      </c>
      <c r="D14" s="115"/>
      <c r="E14" s="120">
        <f>C14/C$20</f>
        <v>0.13820507109304095</v>
      </c>
      <c r="F14" s="117"/>
      <c r="G14" s="52">
        <v>25.384</v>
      </c>
      <c r="H14" s="119"/>
      <c r="I14" s="120">
        <f>G14/G$20</f>
        <v>4.7530685041802807E-2</v>
      </c>
      <c r="J14" s="117"/>
      <c r="K14" s="125">
        <f>G14/C14*1000</f>
        <v>1526.4898670996452</v>
      </c>
      <c r="L14" s="122"/>
    </row>
    <row r="15" spans="1:12" ht="14.25" customHeight="1" x14ac:dyDescent="0.2">
      <c r="B15" s="35" t="s">
        <v>5</v>
      </c>
      <c r="C15" s="128">
        <v>1.258</v>
      </c>
      <c r="D15" s="115"/>
      <c r="E15" s="120">
        <f>C15/C$20</f>
        <v>1.0455347852248812E-2</v>
      </c>
      <c r="F15" s="117"/>
      <c r="G15" s="52">
        <v>5.7510000000000003</v>
      </c>
      <c r="H15" s="119"/>
      <c r="I15" s="120">
        <f>G15/G$20</f>
        <v>1.0768553800638511E-2</v>
      </c>
      <c r="J15" s="117"/>
      <c r="K15" s="125">
        <f>G15/C15*1000</f>
        <v>4571.5421303656594</v>
      </c>
      <c r="L15" s="122"/>
    </row>
    <row r="16" spans="1:12" ht="14.25" customHeight="1" x14ac:dyDescent="0.2">
      <c r="B16" s="35" t="s">
        <v>4</v>
      </c>
      <c r="C16" s="128">
        <v>0.79</v>
      </c>
      <c r="D16" s="115"/>
      <c r="E16" s="120">
        <f>C16/C$20</f>
        <v>6.5657589851165037E-3</v>
      </c>
      <c r="F16" s="117"/>
      <c r="G16" s="52">
        <v>0.55700000000000005</v>
      </c>
      <c r="H16" s="119"/>
      <c r="I16" s="120">
        <f>G16/G$20</f>
        <v>1.0429637396897323E-3</v>
      </c>
      <c r="J16" s="117"/>
      <c r="K16" s="125">
        <f>G16/C16*1000</f>
        <v>705.0632911392405</v>
      </c>
      <c r="L16" s="129"/>
    </row>
    <row r="17" spans="2:12" ht="14.25" customHeight="1" x14ac:dyDescent="0.2">
      <c r="B17" s="35" t="s">
        <v>3</v>
      </c>
      <c r="C17" s="156" t="s">
        <v>0</v>
      </c>
      <c r="D17" s="115"/>
      <c r="E17" s="155" t="s">
        <v>0</v>
      </c>
      <c r="F17" s="117"/>
      <c r="G17" s="52">
        <v>1.647</v>
      </c>
      <c r="H17" s="119"/>
      <c r="I17" s="120">
        <f>G17/G$20</f>
        <v>3.0839520274129066E-3</v>
      </c>
      <c r="J17" s="117"/>
      <c r="K17" s="154" t="s">
        <v>0</v>
      </c>
      <c r="L17" s="153" t="s">
        <v>0</v>
      </c>
    </row>
    <row r="18" spans="2:12" ht="14.25" customHeight="1" thickBot="1" x14ac:dyDescent="0.25">
      <c r="B18" s="36" t="s">
        <v>2</v>
      </c>
      <c r="C18" s="130">
        <v>2.0000000000000001E-4</v>
      </c>
      <c r="D18" s="131"/>
      <c r="E18" s="132">
        <f>C18/C$20</f>
        <v>1.6622174645864568E-6</v>
      </c>
      <c r="F18" s="133"/>
      <c r="G18" s="152" t="s">
        <v>0</v>
      </c>
      <c r="H18" s="135"/>
      <c r="I18" s="137" t="s">
        <v>0</v>
      </c>
      <c r="J18" s="133"/>
      <c r="K18" s="50" t="s">
        <v>0</v>
      </c>
      <c r="L18" s="138" t="s">
        <v>0</v>
      </c>
    </row>
    <row r="19" spans="2:12" ht="14.25" customHeight="1" thickBot="1" x14ac:dyDescent="0.25">
      <c r="B19" s="37" t="s">
        <v>21</v>
      </c>
      <c r="C19" s="139" t="s">
        <v>0</v>
      </c>
      <c r="D19" s="140" t="s">
        <v>0</v>
      </c>
      <c r="E19" s="141" t="s">
        <v>0</v>
      </c>
      <c r="F19" s="142" t="s">
        <v>0</v>
      </c>
      <c r="G19" s="143">
        <v>29.713000000000001</v>
      </c>
      <c r="H19" s="144"/>
      <c r="I19" s="145">
        <f>G19/G20</f>
        <v>5.5636591736806129E-2</v>
      </c>
      <c r="J19" s="146"/>
      <c r="K19" s="147" t="s">
        <v>0</v>
      </c>
      <c r="L19" s="148"/>
    </row>
    <row r="20" spans="2:12" ht="14.25" customHeight="1" thickTop="1" thickBot="1" x14ac:dyDescent="0.25">
      <c r="B20" s="38" t="s">
        <v>1</v>
      </c>
      <c r="C20" s="39">
        <f>SUM(C5:C19)</f>
        <v>120.32120000000002</v>
      </c>
      <c r="D20" s="40"/>
      <c r="E20" s="41">
        <f>SUM(E5:E11,E13:E18)</f>
        <v>0.99999999999999978</v>
      </c>
      <c r="F20" s="42"/>
      <c r="G20" s="43">
        <f>SUM(G5:G11,G13:G18)</f>
        <v>534.05500000000006</v>
      </c>
      <c r="H20" s="44"/>
      <c r="I20" s="41">
        <f>J5+I11+J13</f>
        <v>0.99999999999999989</v>
      </c>
      <c r="J20" s="42"/>
      <c r="K20" s="45">
        <f>G20/C20*1000</f>
        <v>4438.5777402486019</v>
      </c>
      <c r="L20" s="46"/>
    </row>
    <row r="21" spans="2:12" ht="14.25" thickTop="1" thickBot="1" x14ac:dyDescent="0.25"/>
    <row r="22" spans="2:12" ht="19.5" customHeight="1" thickTop="1" thickBot="1" x14ac:dyDescent="0.25">
      <c r="B22" s="2" t="str">
        <f>$B$2</f>
        <v>Allgemeine Stromversorgung Deutschlands nach BDEW</v>
      </c>
      <c r="C22" s="3"/>
      <c r="D22" s="3"/>
      <c r="E22" s="4"/>
      <c r="F22" s="4"/>
      <c r="G22" s="3"/>
      <c r="H22" s="3"/>
      <c r="I22" s="4"/>
      <c r="J22" s="4"/>
      <c r="K22" s="5"/>
      <c r="L22" s="6"/>
    </row>
    <row r="23" spans="2:12" ht="14.25" customHeight="1" thickTop="1" x14ac:dyDescent="0.2">
      <c r="B23" s="55">
        <v>2005</v>
      </c>
      <c r="C23" s="7" t="str">
        <f>$C$3</f>
        <v>Netto-Engpassleistung</v>
      </c>
      <c r="D23" s="8"/>
      <c r="E23" s="9"/>
      <c r="F23" s="10"/>
      <c r="G23" s="11" t="str">
        <f>$G$3</f>
        <v>Netto-Erzeugung</v>
      </c>
      <c r="H23" s="8"/>
      <c r="I23" s="9"/>
      <c r="J23" s="10"/>
      <c r="K23" s="12" t="str">
        <f>$K$3</f>
        <v>Auslastung</v>
      </c>
      <c r="L23" s="13"/>
    </row>
    <row r="24" spans="2:12" ht="14.25" customHeight="1" thickBot="1" x14ac:dyDescent="0.25">
      <c r="B24" s="56"/>
      <c r="C24" s="14" t="str">
        <f>$C$4</f>
        <v>absolut</v>
      </c>
      <c r="D24" s="15"/>
      <c r="E24" s="16" t="str">
        <f>$E$4</f>
        <v>anteilig</v>
      </c>
      <c r="F24" s="17"/>
      <c r="G24" s="18" t="str">
        <f>$G$4</f>
        <v>absolut</v>
      </c>
      <c r="H24" s="15"/>
      <c r="I24" s="19" t="str">
        <f>$I$4</f>
        <v>anteilig</v>
      </c>
      <c r="J24" s="20"/>
      <c r="K24" s="21" t="str">
        <f>$K$4</f>
        <v>einzeln</v>
      </c>
      <c r="L24" s="22" t="str">
        <f>$L$4</f>
        <v>gesamt</v>
      </c>
    </row>
    <row r="25" spans="2:12" ht="14.25" customHeight="1" thickTop="1" x14ac:dyDescent="0.2">
      <c r="B25" s="62" t="str">
        <f>$B$5</f>
        <v>Kernenergie</v>
      </c>
      <c r="C25" s="23">
        <v>20.343</v>
      </c>
      <c r="D25" s="63">
        <f>SUM(C25:C30)</f>
        <v>91.293999999999997</v>
      </c>
      <c r="E25" s="64">
        <f>C25/C$40</f>
        <v>0.16354997427321843</v>
      </c>
      <c r="F25" s="65">
        <f>SUM(C25:C30)/C$180</f>
        <v>0.53912612128477533</v>
      </c>
      <c r="G25" s="24">
        <v>154.61199999999999</v>
      </c>
      <c r="H25" s="66">
        <f>SUM(G25:G30)</f>
        <v>472.48400000000004</v>
      </c>
      <c r="I25" s="64">
        <f>G25/G$40</f>
        <v>0.28803928655262734</v>
      </c>
      <c r="J25" s="65">
        <f>SUM(I25:I30)</f>
        <v>0.88022892315946744</v>
      </c>
      <c r="K25" s="25">
        <f>G25/C25*1000</f>
        <v>7600.2556161824705</v>
      </c>
      <c r="L25" s="67">
        <f>H25/D25*1000</f>
        <v>5175.4113085197287</v>
      </c>
    </row>
    <row r="26" spans="2:12" ht="14.25" customHeight="1" x14ac:dyDescent="0.2">
      <c r="B26" s="51" t="str">
        <f>$B$6</f>
        <v>Braunkohle</v>
      </c>
      <c r="C26" s="26">
        <v>19.7</v>
      </c>
      <c r="D26" s="68"/>
      <c r="E26" s="69">
        <f>C26/C$40</f>
        <v>0.15838049909956264</v>
      </c>
      <c r="F26" s="70"/>
      <c r="G26" s="27">
        <v>139.179</v>
      </c>
      <c r="H26" s="71"/>
      <c r="I26" s="69">
        <f>G26/G$40</f>
        <v>0.25928789397400026</v>
      </c>
      <c r="J26" s="70"/>
      <c r="K26" s="28">
        <f>G26/C26*1000</f>
        <v>7064.9238578680206</v>
      </c>
      <c r="L26" s="72"/>
    </row>
    <row r="27" spans="2:12" ht="14.25" customHeight="1" x14ac:dyDescent="0.2">
      <c r="B27" s="51" t="str">
        <f>$B$7</f>
        <v>Steinkohle</v>
      </c>
      <c r="C27" s="26">
        <v>25.024999999999999</v>
      </c>
      <c r="D27" s="68"/>
      <c r="E27" s="69">
        <f>C27/C$40</f>
        <v>0.20119147157190637</v>
      </c>
      <c r="F27" s="70"/>
      <c r="G27" s="27">
        <v>112.937</v>
      </c>
      <c r="H27" s="71"/>
      <c r="I27" s="69">
        <f>G27/G$40</f>
        <v>0.21039953499983233</v>
      </c>
      <c r="J27" s="70"/>
      <c r="K27" s="28">
        <f>G27/C27*1000</f>
        <v>4512.9670329670334</v>
      </c>
      <c r="L27" s="72"/>
    </row>
    <row r="28" spans="2:12" ht="14.25" customHeight="1" x14ac:dyDescent="0.2">
      <c r="B28" s="51" t="str">
        <f>$B$8</f>
        <v>Erdgas</v>
      </c>
      <c r="C28" s="26">
        <v>17.326000000000001</v>
      </c>
      <c r="D28" s="68"/>
      <c r="E28" s="69">
        <f>C28/C$40</f>
        <v>0.13929444301517882</v>
      </c>
      <c r="F28" s="70"/>
      <c r="G28" s="27">
        <v>53.975999999999999</v>
      </c>
      <c r="H28" s="71"/>
      <c r="I28" s="69">
        <f>G28/G$40</f>
        <v>0.1005562862582763</v>
      </c>
      <c r="J28" s="70"/>
      <c r="K28" s="28">
        <f>G28/C28*1000</f>
        <v>3115.3180191619531</v>
      </c>
      <c r="L28" s="72"/>
    </row>
    <row r="29" spans="2:12" ht="14.25" customHeight="1" x14ac:dyDescent="0.2">
      <c r="B29" s="51" t="str">
        <f>$B$9</f>
        <v>Mineralöl</v>
      </c>
      <c r="C29" s="26">
        <v>5.8</v>
      </c>
      <c r="D29" s="68"/>
      <c r="E29" s="69">
        <f>C29/C$40</f>
        <v>4.662979161306921E-2</v>
      </c>
      <c r="F29" s="70"/>
      <c r="G29" s="27">
        <v>4.7249999999999996</v>
      </c>
      <c r="H29" s="71"/>
      <c r="I29" s="69">
        <f>G29/G$40</f>
        <v>8.8025873086252301E-3</v>
      </c>
      <c r="J29" s="70"/>
      <c r="K29" s="28">
        <f>G29/C29*1000</f>
        <v>814.65517241379303</v>
      </c>
      <c r="L29" s="72"/>
    </row>
    <row r="30" spans="2:12" ht="14.25" customHeight="1" x14ac:dyDescent="0.2">
      <c r="B30" s="74" t="str">
        <f>$B$10</f>
        <v>sonstige</v>
      </c>
      <c r="C30" s="29">
        <v>3.1</v>
      </c>
      <c r="D30" s="75"/>
      <c r="E30" s="76">
        <f>C30/C$40</f>
        <v>2.4922819655261129E-2</v>
      </c>
      <c r="F30" s="77"/>
      <c r="G30" s="30">
        <v>7.0549999999999997</v>
      </c>
      <c r="H30" s="78"/>
      <c r="I30" s="76">
        <f>G30/G$40</f>
        <v>1.3143334066106033E-2</v>
      </c>
      <c r="J30" s="77"/>
      <c r="K30" s="31">
        <f>G30/C30*1000</f>
        <v>2275.8064516129029</v>
      </c>
      <c r="L30" s="80"/>
    </row>
    <row r="31" spans="2:12" ht="14.25" customHeight="1" x14ac:dyDescent="0.2">
      <c r="B31" s="32" t="str">
        <f>$B$11</f>
        <v>Pumpspeicher</v>
      </c>
      <c r="C31" s="81">
        <v>5.71</v>
      </c>
      <c r="D31" s="82"/>
      <c r="E31" s="83">
        <f>C31/C$40</f>
        <v>4.5906225881142272E-2</v>
      </c>
      <c r="F31" s="84"/>
      <c r="G31" s="85">
        <v>6.6680000000000001</v>
      </c>
      <c r="H31" s="82"/>
      <c r="I31" s="86">
        <f>G31/G$40</f>
        <v>1.2422360248447206E-2</v>
      </c>
      <c r="J31" s="87"/>
      <c r="K31" s="88">
        <f>G31/C31*1000</f>
        <v>1167.7758318739056</v>
      </c>
      <c r="L31" s="89"/>
    </row>
    <row r="32" spans="2:12" ht="14.25" customHeight="1" x14ac:dyDescent="0.2">
      <c r="B32" s="33" t="str">
        <f>$B$12</f>
        <v>Pumparbeit</v>
      </c>
      <c r="C32" s="93"/>
      <c r="D32" s="49" t="s">
        <v>27</v>
      </c>
      <c r="E32" s="94">
        <f>G31/G32</f>
        <v>0.70086188774437674</v>
      </c>
      <c r="F32" s="95"/>
      <c r="G32" s="96">
        <v>9.5139999999999993</v>
      </c>
      <c r="H32" s="97"/>
      <c r="I32" s="98">
        <f>G32/G$40</f>
        <v>1.7724405429473112E-2</v>
      </c>
      <c r="J32" s="99"/>
      <c r="K32" s="100" t="s">
        <v>0</v>
      </c>
      <c r="L32" s="101"/>
    </row>
    <row r="33" spans="2:12" ht="14.25" customHeight="1" x14ac:dyDescent="0.2">
      <c r="B33" s="34" t="str">
        <f>$B$13</f>
        <v>Wasserkraft</v>
      </c>
      <c r="C33" s="106">
        <v>4.8550000000000004</v>
      </c>
      <c r="D33" s="107">
        <f>SUM(C33:C38)</f>
        <v>27.380000000000003</v>
      </c>
      <c r="E33" s="108">
        <f>C33/C$40</f>
        <v>3.9032351427836384E-2</v>
      </c>
      <c r="F33" s="109">
        <f>SUM(E33:E38)</f>
        <v>0.22012477489066123</v>
      </c>
      <c r="G33" s="110">
        <v>18.954999999999998</v>
      </c>
      <c r="H33" s="111">
        <f>SUM(G33:G38)</f>
        <v>57.621999999999943</v>
      </c>
      <c r="I33" s="108">
        <f>G33/G$40</f>
        <v>3.5312813213754762E-2</v>
      </c>
      <c r="J33" s="109">
        <f>SUM(I33:I38)</f>
        <v>0.10734871659208521</v>
      </c>
      <c r="K33" s="112">
        <f>G33/C33*1000</f>
        <v>3904.2224510813589</v>
      </c>
      <c r="L33" s="113">
        <f>H33/D33*1000</f>
        <v>2104.5288531774995</v>
      </c>
    </row>
    <row r="34" spans="2:12" ht="14.25" customHeight="1" x14ac:dyDescent="0.2">
      <c r="B34" s="35" t="str">
        <f>$B$14</f>
        <v>Wind</v>
      </c>
      <c r="C34" s="128">
        <v>18.437000000000001</v>
      </c>
      <c r="D34" s="115"/>
      <c r="E34" s="120">
        <f>C34/C$40</f>
        <v>0.14822645999485468</v>
      </c>
      <c r="F34" s="117"/>
      <c r="G34" s="52">
        <v>27.094999999999999</v>
      </c>
      <c r="H34" s="119"/>
      <c r="I34" s="120">
        <f>G34/G$40</f>
        <v>5.0477482143322885E-2</v>
      </c>
      <c r="J34" s="117"/>
      <c r="K34" s="125">
        <f>G34/C34*1000</f>
        <v>1469.5991755708628</v>
      </c>
      <c r="L34" s="122"/>
    </row>
    <row r="35" spans="2:12" ht="14.25" customHeight="1" x14ac:dyDescent="0.2">
      <c r="B35" s="35" t="str">
        <f>$B$15</f>
        <v>Biomasse</v>
      </c>
      <c r="C35" s="128">
        <v>2.3260000000000001</v>
      </c>
      <c r="D35" s="115"/>
      <c r="E35" s="120">
        <f>C35/C$40</f>
        <v>1.8700154360689482E-2</v>
      </c>
      <c r="F35" s="117"/>
      <c r="G35" s="52">
        <v>10.254</v>
      </c>
      <c r="H35" s="119"/>
      <c r="I35" s="120">
        <f>G35/G$40</f>
        <v>1.9103011695797485E-2</v>
      </c>
      <c r="J35" s="117"/>
      <c r="K35" s="125">
        <f>G35/C35*1000</f>
        <v>4408.4264832330173</v>
      </c>
      <c r="L35" s="122"/>
    </row>
    <row r="36" spans="2:12" ht="14.25" customHeight="1" x14ac:dyDescent="0.2">
      <c r="B36" s="35" t="str">
        <f>$B$16</f>
        <v>Fotovoltaik</v>
      </c>
      <c r="C36" s="128">
        <v>1.762</v>
      </c>
      <c r="D36" s="115"/>
      <c r="E36" s="120">
        <f>C36/C$40</f>
        <v>1.4165809107280681E-2</v>
      </c>
      <c r="F36" s="117"/>
      <c r="G36" s="52">
        <v>1.282</v>
      </c>
      <c r="H36" s="119"/>
      <c r="I36" s="120">
        <f>G36/G$40</f>
        <v>2.3883422073349304E-3</v>
      </c>
      <c r="J36" s="117"/>
      <c r="K36" s="125">
        <f>G36/C36*1000</f>
        <v>727.58229284903518</v>
      </c>
      <c r="L36" s="129"/>
    </row>
    <row r="37" spans="2:12" ht="14.25" customHeight="1" x14ac:dyDescent="0.2">
      <c r="B37" s="35" t="str">
        <f>$B$17</f>
        <v>sonstige</v>
      </c>
      <c r="C37" s="156" t="s">
        <v>0</v>
      </c>
      <c r="D37" s="115"/>
      <c r="E37" s="155" t="s">
        <v>0</v>
      </c>
      <c r="F37" s="117"/>
      <c r="G37" s="52">
        <f>536.774-536.738</f>
        <v>3.5999999999944521E-2</v>
      </c>
      <c r="H37" s="119"/>
      <c r="I37" s="120">
        <f>G37/G$40</f>
        <v>6.7067331875136503E-5</v>
      </c>
      <c r="J37" s="117"/>
      <c r="K37" s="154" t="s">
        <v>0</v>
      </c>
      <c r="L37" s="153" t="s">
        <v>0</v>
      </c>
    </row>
    <row r="38" spans="2:12" ht="14.25" customHeight="1" thickBot="1" x14ac:dyDescent="0.25">
      <c r="B38" s="36" t="str">
        <f>$B$18</f>
        <v>Geothermie</v>
      </c>
      <c r="C38" s="130">
        <v>0</v>
      </c>
      <c r="D38" s="131"/>
      <c r="E38" s="132">
        <f>C38/C$40</f>
        <v>0</v>
      </c>
      <c r="F38" s="133"/>
      <c r="G38" s="134">
        <v>0</v>
      </c>
      <c r="H38" s="135"/>
      <c r="I38" s="137" t="s">
        <v>0</v>
      </c>
      <c r="J38" s="133"/>
      <c r="K38" s="50" t="s">
        <v>0</v>
      </c>
      <c r="L38" s="138" t="s">
        <v>0</v>
      </c>
    </row>
    <row r="39" spans="2:12" ht="14.25" customHeight="1" thickBot="1" x14ac:dyDescent="0.25">
      <c r="B39" s="37" t="str">
        <f>$B$19</f>
        <v>Netzverluste</v>
      </c>
      <c r="C39" s="139" t="s">
        <v>0</v>
      </c>
      <c r="D39" s="140" t="s">
        <v>0</v>
      </c>
      <c r="E39" s="141" t="s">
        <v>0</v>
      </c>
      <c r="F39" s="142" t="s">
        <v>0</v>
      </c>
      <c r="G39" s="143">
        <v>30.548999999999999</v>
      </c>
      <c r="H39" s="144"/>
      <c r="I39" s="145">
        <f>G39/G40</f>
        <v>5.6912220040463958E-2</v>
      </c>
      <c r="J39" s="146"/>
      <c r="K39" s="147" t="s">
        <v>0</v>
      </c>
      <c r="L39" s="148"/>
    </row>
    <row r="40" spans="2:12" ht="14.25" customHeight="1" thickTop="1" thickBot="1" x14ac:dyDescent="0.25">
      <c r="B40" s="38" t="str">
        <f>$B$20</f>
        <v>Gesamt</v>
      </c>
      <c r="C40" s="39">
        <f>SUM(C25:C38)</f>
        <v>124.38399999999999</v>
      </c>
      <c r="D40" s="40"/>
      <c r="E40" s="41">
        <f>SUM(E25:E31,E33:E38)</f>
        <v>1</v>
      </c>
      <c r="F40" s="42"/>
      <c r="G40" s="43">
        <f>SUM(G25:G31,G33:G38)</f>
        <v>536.774</v>
      </c>
      <c r="H40" s="44"/>
      <c r="I40" s="41">
        <f>J25+I31+J33</f>
        <v>0.99999999999999989</v>
      </c>
      <c r="J40" s="42"/>
      <c r="K40" s="45">
        <f>G40/C40*1000</f>
        <v>4315.458579881657</v>
      </c>
      <c r="L40" s="46"/>
    </row>
    <row r="41" spans="2:12" ht="14.25" thickTop="1" thickBot="1" x14ac:dyDescent="0.25"/>
    <row r="42" spans="2:12" ht="19.5" customHeight="1" thickTop="1" thickBot="1" x14ac:dyDescent="0.25">
      <c r="B42" s="2" t="str">
        <f>$B$2</f>
        <v>Allgemeine Stromversorgung Deutschlands nach BDEW</v>
      </c>
      <c r="C42" s="3"/>
      <c r="D42" s="3"/>
      <c r="E42" s="4"/>
      <c r="F42" s="4"/>
      <c r="G42" s="3"/>
      <c r="H42" s="3"/>
      <c r="I42" s="4"/>
      <c r="J42" s="4"/>
      <c r="K42" s="5"/>
      <c r="L42" s="6"/>
    </row>
    <row r="43" spans="2:12" ht="14.25" customHeight="1" thickTop="1" x14ac:dyDescent="0.2">
      <c r="B43" s="55">
        <v>2006</v>
      </c>
      <c r="C43" s="7" t="str">
        <f>$C$3</f>
        <v>Netto-Engpassleistung</v>
      </c>
      <c r="D43" s="8"/>
      <c r="E43" s="9"/>
      <c r="F43" s="10"/>
      <c r="G43" s="11" t="str">
        <f>$G$3</f>
        <v>Netto-Erzeugung</v>
      </c>
      <c r="H43" s="8"/>
      <c r="I43" s="9"/>
      <c r="J43" s="10"/>
      <c r="K43" s="12" t="str">
        <f>$K$3</f>
        <v>Auslastung</v>
      </c>
      <c r="L43" s="13"/>
    </row>
    <row r="44" spans="2:12" ht="14.25" customHeight="1" thickBot="1" x14ac:dyDescent="0.25">
      <c r="B44" s="56"/>
      <c r="C44" s="14" t="str">
        <f>$C$4</f>
        <v>absolut</v>
      </c>
      <c r="D44" s="15"/>
      <c r="E44" s="16" t="str">
        <f>$E$4</f>
        <v>anteilig</v>
      </c>
      <c r="F44" s="17"/>
      <c r="G44" s="18" t="str">
        <f>$G$4</f>
        <v>absolut</v>
      </c>
      <c r="H44" s="15"/>
      <c r="I44" s="19" t="str">
        <f>$I$4</f>
        <v>anteilig</v>
      </c>
      <c r="J44" s="20"/>
      <c r="K44" s="21" t="str">
        <f>$K$4</f>
        <v>einzeln</v>
      </c>
      <c r="L44" s="22" t="str">
        <f>$L$4</f>
        <v>gesamt</v>
      </c>
    </row>
    <row r="45" spans="2:12" ht="14.25" customHeight="1" thickTop="1" x14ac:dyDescent="0.2">
      <c r="B45" s="62" t="str">
        <f>$B$5</f>
        <v>Kernenergie</v>
      </c>
      <c r="C45" s="23">
        <f>'[2]11 Netto-Kraftwerksleistung'!$D$7/1000</f>
        <v>20.43</v>
      </c>
      <c r="D45" s="63">
        <f>SUM(C45:C50)</f>
        <v>91.669999999999987</v>
      </c>
      <c r="E45" s="64">
        <f>C45/C$60</f>
        <v>0.15971293885879129</v>
      </c>
      <c r="F45" s="65">
        <f>SUM(E45:E50)</f>
        <v>0.71663656902522743</v>
      </c>
      <c r="G45" s="24">
        <v>158.71100000000001</v>
      </c>
      <c r="H45" s="66">
        <f>SUM(G45:G50)</f>
        <v>479.41800000000001</v>
      </c>
      <c r="I45" s="64">
        <f>G45/G$60</f>
        <v>0.28356947595990639</v>
      </c>
      <c r="J45" s="65">
        <f>SUM(I45:I50)</f>
        <v>0.85657774839643375</v>
      </c>
      <c r="K45" s="25">
        <f>G45/C45*1000</f>
        <v>7768.5266764561929</v>
      </c>
      <c r="L45" s="67">
        <f>H45/D45*1000</f>
        <v>5229.8243700229086</v>
      </c>
    </row>
    <row r="46" spans="2:12" ht="14.25" customHeight="1" x14ac:dyDescent="0.2">
      <c r="B46" s="51" t="str">
        <f>$B$6</f>
        <v>Braunkohle</v>
      </c>
      <c r="C46" s="26">
        <f>'[2]11 Netto-Kraftwerksleistung'!$D$8/1000</f>
        <v>19.78</v>
      </c>
      <c r="D46" s="68"/>
      <c r="E46" s="69">
        <f>C46/C$60</f>
        <v>0.15463151887552087</v>
      </c>
      <c r="F46" s="70"/>
      <c r="G46" s="27">
        <v>135.96600000000001</v>
      </c>
      <c r="H46" s="71"/>
      <c r="I46" s="69">
        <f>G46/G$60</f>
        <v>0.24293090818131466</v>
      </c>
      <c r="J46" s="70"/>
      <c r="K46" s="28">
        <f>G46/C46*1000</f>
        <v>6873.913043478261</v>
      </c>
      <c r="L46" s="72"/>
    </row>
    <row r="47" spans="2:12" ht="14.25" customHeight="1" x14ac:dyDescent="0.2">
      <c r="B47" s="51" t="str">
        <f>$B$7</f>
        <v>Steinkohle</v>
      </c>
      <c r="C47" s="26">
        <f>'[2]11 Netto-Kraftwerksleistung'!$D$9/1000</f>
        <v>25.305</v>
      </c>
      <c r="D47" s="68"/>
      <c r="E47" s="69">
        <f>C47/C$60</f>
        <v>0.19782358873331929</v>
      </c>
      <c r="F47" s="70"/>
      <c r="G47" s="27">
        <v>116.47</v>
      </c>
      <c r="H47" s="71"/>
      <c r="I47" s="69">
        <f>G47/G$60</f>
        <v>0.20809733959870641</v>
      </c>
      <c r="J47" s="70"/>
      <c r="K47" s="28">
        <f>G47/C47*1000</f>
        <v>4602.6476980833822</v>
      </c>
      <c r="L47" s="72"/>
    </row>
    <row r="48" spans="2:12" ht="14.25" customHeight="1" x14ac:dyDescent="0.2">
      <c r="B48" s="51" t="str">
        <f>$B$8</f>
        <v>Erdgas</v>
      </c>
      <c r="C48" s="26">
        <f>'[2]11 Netto-Kraftwerksleistung'!$D$11/1000</f>
        <v>17.055</v>
      </c>
      <c r="D48" s="68"/>
      <c r="E48" s="69">
        <f>C48/C$60</f>
        <v>0.13332864279181034</v>
      </c>
      <c r="F48" s="70"/>
      <c r="G48" s="27">
        <v>56.784999999999997</v>
      </c>
      <c r="H48" s="71"/>
      <c r="I48" s="69">
        <f>G48/G$60</f>
        <v>0.10145794993657202</v>
      </c>
      <c r="J48" s="70"/>
      <c r="K48" s="28">
        <f>G48/C48*1000</f>
        <v>3329.5221342714749</v>
      </c>
      <c r="L48" s="72"/>
    </row>
    <row r="49" spans="2:12" ht="14.25" customHeight="1" x14ac:dyDescent="0.2">
      <c r="B49" s="51" t="str">
        <f>$B$9</f>
        <v>Mineralöl</v>
      </c>
      <c r="C49" s="26">
        <f>'[2]11 Netto-Kraftwerksleistung'!$D$10/1000</f>
        <v>5.75</v>
      </c>
      <c r="D49" s="68"/>
      <c r="E49" s="69">
        <f>C49/C$60</f>
        <v>4.4951022928930488E-2</v>
      </c>
      <c r="F49" s="70"/>
      <c r="G49" s="27">
        <v>3.746</v>
      </c>
      <c r="H49" s="71"/>
      <c r="I49" s="69">
        <f>G49/G$60</f>
        <v>6.692990762743661E-3</v>
      </c>
      <c r="J49" s="70"/>
      <c r="K49" s="28">
        <f>G49/C49*1000</f>
        <v>651.47826086956513</v>
      </c>
      <c r="L49" s="72"/>
    </row>
    <row r="50" spans="2:12" ht="14.25" customHeight="1" x14ac:dyDescent="0.2">
      <c r="B50" s="74" t="str">
        <f>$B$10</f>
        <v>sonstige</v>
      </c>
      <c r="C50" s="29">
        <f>'[2]11 Netto-Kraftwerksleistung'!$D$12/1000</f>
        <v>3.35</v>
      </c>
      <c r="D50" s="75"/>
      <c r="E50" s="76">
        <f>C50/C$60</f>
        <v>2.6188856836855155E-2</v>
      </c>
      <c r="F50" s="77"/>
      <c r="G50" s="30">
        <v>7.74</v>
      </c>
      <c r="H50" s="78"/>
      <c r="I50" s="76">
        <f>G50/G$60</f>
        <v>1.3829083957190586E-2</v>
      </c>
      <c r="J50" s="77"/>
      <c r="K50" s="31">
        <f>G50/C50*1000</f>
        <v>2310.4477611940301</v>
      </c>
      <c r="L50" s="80"/>
    </row>
    <row r="51" spans="2:12" ht="14.25" customHeight="1" x14ac:dyDescent="0.2">
      <c r="B51" s="32" t="str">
        <f>$B$11</f>
        <v>Pumpspeicher</v>
      </c>
      <c r="C51" s="81">
        <f>'[2]11 Netto-Kraftwerksleistung'!$D$4/1000</f>
        <v>5.71</v>
      </c>
      <c r="D51" s="82"/>
      <c r="E51" s="83">
        <f>C51/C$60</f>
        <v>4.4638320160729231E-2</v>
      </c>
      <c r="F51" s="84"/>
      <c r="G51" s="85">
        <v>6.6429999999999998</v>
      </c>
      <c r="H51" s="82"/>
      <c r="I51" s="86">
        <f>G51/G$60</f>
        <v>1.1869070378245099E-2</v>
      </c>
      <c r="J51" s="87"/>
      <c r="K51" s="88">
        <f>G51/C51*1000</f>
        <v>1163.3975481611208</v>
      </c>
      <c r="L51" s="89"/>
    </row>
    <row r="52" spans="2:12" ht="14.25" customHeight="1" x14ac:dyDescent="0.2">
      <c r="B52" s="33" t="str">
        <f>$B$12</f>
        <v>Pumparbeit</v>
      </c>
      <c r="C52" s="93"/>
      <c r="D52" s="49" t="s">
        <v>27</v>
      </c>
      <c r="E52" s="94">
        <f>G51/G52</f>
        <v>0.73696472154426451</v>
      </c>
      <c r="F52" s="95"/>
      <c r="G52" s="96">
        <v>9.0139999999999993</v>
      </c>
      <c r="H52" s="97"/>
      <c r="I52" s="98">
        <f>G52/G$60</f>
        <v>1.6105344029730743E-2</v>
      </c>
      <c r="J52" s="99"/>
      <c r="K52" s="100" t="s">
        <v>0</v>
      </c>
      <c r="L52" s="101"/>
    </row>
    <row r="53" spans="2:12" ht="14.25" customHeight="1" x14ac:dyDescent="0.2">
      <c r="B53" s="34" t="str">
        <f>$B$13</f>
        <v>Wasserkraft</v>
      </c>
      <c r="C53" s="106">
        <f>'[2]11 Netto-Kraftwerksleistung'!$D$3/1000</f>
        <v>4.3</v>
      </c>
      <c r="D53" s="107">
        <f>SUM(C53:C58)</f>
        <v>30.537000000000003</v>
      </c>
      <c r="E53" s="108">
        <f>C53/C$60</f>
        <v>3.3615547581634972E-2</v>
      </c>
      <c r="F53" s="109">
        <f>SUM(E53:E58)</f>
        <v>0.23872511081404349</v>
      </c>
      <c r="G53" s="110">
        <v>19.306999999999999</v>
      </c>
      <c r="H53" s="111">
        <f>SUM(G53:G58)</f>
        <v>73.628999999999991</v>
      </c>
      <c r="I53" s="108">
        <f>G53/G$60</f>
        <v>3.4495881648769849E-2</v>
      </c>
      <c r="J53" s="109">
        <f>SUM(I53:I58)</f>
        <v>0.13155318122532114</v>
      </c>
      <c r="K53" s="112">
        <f>G53/C53*1000</f>
        <v>4490</v>
      </c>
      <c r="L53" s="113">
        <f>H53/D53*1000</f>
        <v>2411.140583554376</v>
      </c>
    </row>
    <row r="54" spans="2:12" ht="14.25" customHeight="1" x14ac:dyDescent="0.2">
      <c r="B54" s="35" t="str">
        <f>$B$14</f>
        <v>Wind</v>
      </c>
      <c r="C54" s="128">
        <v>20.622</v>
      </c>
      <c r="D54" s="115"/>
      <c r="E54" s="120">
        <f>C54/C$60</f>
        <v>0.1612139121461573</v>
      </c>
      <c r="F54" s="117"/>
      <c r="G54" s="52">
        <v>30.548999999999999</v>
      </c>
      <c r="H54" s="119"/>
      <c r="I54" s="120">
        <f>G54/G$60</f>
        <v>5.4582000750415402E-2</v>
      </c>
      <c r="J54" s="117"/>
      <c r="K54" s="125">
        <f>G54/C54*1000</f>
        <v>1481.3791096886819</v>
      </c>
      <c r="L54" s="122"/>
    </row>
    <row r="55" spans="2:12" ht="14.25" customHeight="1" x14ac:dyDescent="0.2">
      <c r="B55" s="35" t="str">
        <f>$B$15</f>
        <v>Biomasse</v>
      </c>
      <c r="C55" s="128">
        <v>2.8410000000000002</v>
      </c>
      <c r="D55" s="115"/>
      <c r="E55" s="120">
        <f>C55/C$60</f>
        <v>2.2209714111494177E-2</v>
      </c>
      <c r="F55" s="117"/>
      <c r="G55" s="52">
        <v>13.843</v>
      </c>
      <c r="H55" s="119"/>
      <c r="I55" s="120">
        <f>G55/G$60</f>
        <v>2.4733334524468902E-2</v>
      </c>
      <c r="J55" s="117"/>
      <c r="K55" s="125">
        <f>G55/C55*1000</f>
        <v>4872.5800774375211</v>
      </c>
      <c r="L55" s="122"/>
    </row>
    <row r="56" spans="2:12" ht="14.25" customHeight="1" x14ac:dyDescent="0.2">
      <c r="B56" s="35" t="str">
        <f>$B$16</f>
        <v>Fotovoltaik</v>
      </c>
      <c r="C56" s="128">
        <v>2.774</v>
      </c>
      <c r="D56" s="115"/>
      <c r="E56" s="120">
        <f>C56/C$60</f>
        <v>2.1685936974757073E-2</v>
      </c>
      <c r="F56" s="117"/>
      <c r="G56" s="52">
        <v>2.2160000000000002</v>
      </c>
      <c r="H56" s="119"/>
      <c r="I56" s="120">
        <f>G56/G$60</f>
        <v>3.9593346316711036E-3</v>
      </c>
      <c r="J56" s="117"/>
      <c r="K56" s="125">
        <f>G56/C56*1000</f>
        <v>798.84643114635912</v>
      </c>
      <c r="L56" s="129"/>
    </row>
    <row r="57" spans="2:12" ht="14.25" customHeight="1" x14ac:dyDescent="0.2">
      <c r="B57" s="35" t="str">
        <f>$B$17</f>
        <v>sonstige</v>
      </c>
      <c r="C57" s="156" t="s">
        <v>0</v>
      </c>
      <c r="D57" s="115"/>
      <c r="E57" s="155" t="s">
        <v>0</v>
      </c>
      <c r="F57" s="117"/>
      <c r="G57" s="52">
        <v>7.7140000000000004</v>
      </c>
      <c r="H57" s="119"/>
      <c r="I57" s="120">
        <f>G57/G$60</f>
        <v>1.378262966999589E-2</v>
      </c>
      <c r="J57" s="117"/>
      <c r="K57" s="154" t="s">
        <v>0</v>
      </c>
      <c r="L57" s="153" t="s">
        <v>0</v>
      </c>
    </row>
    <row r="58" spans="2:12" ht="14.25" customHeight="1" thickBot="1" x14ac:dyDescent="0.25">
      <c r="B58" s="36" t="str">
        <f>$B$18</f>
        <v>Geothermie</v>
      </c>
      <c r="C58" s="130">
        <v>0</v>
      </c>
      <c r="D58" s="131"/>
      <c r="E58" s="132">
        <f>C58/C$60</f>
        <v>0</v>
      </c>
      <c r="F58" s="133"/>
      <c r="G58" s="134">
        <v>0</v>
      </c>
      <c r="H58" s="135"/>
      <c r="I58" s="137" t="s">
        <v>0</v>
      </c>
      <c r="J58" s="133"/>
      <c r="K58" s="50" t="s">
        <v>0</v>
      </c>
      <c r="L58" s="138" t="s">
        <v>0</v>
      </c>
    </row>
    <row r="59" spans="2:12" ht="14.25" customHeight="1" thickBot="1" x14ac:dyDescent="0.25">
      <c r="B59" s="37" t="str">
        <f>$B$19</f>
        <v>Netzverluste</v>
      </c>
      <c r="C59" s="139" t="s">
        <v>0</v>
      </c>
      <c r="D59" s="140" t="s">
        <v>0</v>
      </c>
      <c r="E59" s="141" t="s">
        <v>0</v>
      </c>
      <c r="F59" s="142" t="s">
        <v>0</v>
      </c>
      <c r="G59" s="143">
        <v>30.443999999999999</v>
      </c>
      <c r="H59" s="144"/>
      <c r="I59" s="145">
        <f>G59/G60</f>
        <v>5.4394396898282973E-2</v>
      </c>
      <c r="J59" s="146"/>
      <c r="K59" s="147" t="s">
        <v>0</v>
      </c>
      <c r="L59" s="148"/>
    </row>
    <row r="60" spans="2:12" ht="14.25" customHeight="1" thickTop="1" thickBot="1" x14ac:dyDescent="0.25">
      <c r="B60" s="38" t="str">
        <f>$B$20</f>
        <v>Gesamt</v>
      </c>
      <c r="C60" s="39">
        <f>SUM(C45:C58)</f>
        <v>127.91699999999997</v>
      </c>
      <c r="D60" s="40"/>
      <c r="E60" s="41">
        <f>SUM(E45:E51,E53:E58)</f>
        <v>1.0000000000000002</v>
      </c>
      <c r="F60" s="42"/>
      <c r="G60" s="43">
        <f>SUM(G45:G51,G53:G58)</f>
        <v>559.69000000000005</v>
      </c>
      <c r="H60" s="44"/>
      <c r="I60" s="41">
        <f>J45+I51+J53</f>
        <v>1</v>
      </c>
      <c r="J60" s="42"/>
      <c r="K60" s="45">
        <f>G60/C60*1000</f>
        <v>4375.4153083640194</v>
      </c>
      <c r="L60" s="46"/>
    </row>
    <row r="61" spans="2:12" ht="14.25" thickTop="1" thickBot="1" x14ac:dyDescent="0.25"/>
    <row r="62" spans="2:12" ht="19.5" customHeight="1" thickTop="1" thickBot="1" x14ac:dyDescent="0.25">
      <c r="B62" s="2" t="str">
        <f>$B$2</f>
        <v>Allgemeine Stromversorgung Deutschlands nach BDEW</v>
      </c>
      <c r="C62" s="3"/>
      <c r="D62" s="3"/>
      <c r="E62" s="4"/>
      <c r="F62" s="4"/>
      <c r="G62" s="3"/>
      <c r="H62" s="3"/>
      <c r="I62" s="4"/>
      <c r="J62" s="4"/>
      <c r="K62" s="5"/>
      <c r="L62" s="6"/>
    </row>
    <row r="63" spans="2:12" ht="14.25" customHeight="1" thickTop="1" x14ac:dyDescent="0.2">
      <c r="B63" s="55">
        <v>2007</v>
      </c>
      <c r="C63" s="7" t="str">
        <f>$C$3</f>
        <v>Netto-Engpassleistung</v>
      </c>
      <c r="D63" s="8"/>
      <c r="E63" s="9"/>
      <c r="F63" s="10"/>
      <c r="G63" s="11" t="str">
        <f>$G$3</f>
        <v>Netto-Erzeugung</v>
      </c>
      <c r="H63" s="8"/>
      <c r="I63" s="9"/>
      <c r="J63" s="10"/>
      <c r="K63" s="12" t="str">
        <f>$K$3</f>
        <v>Auslastung</v>
      </c>
      <c r="L63" s="13"/>
    </row>
    <row r="64" spans="2:12" ht="14.25" customHeight="1" thickBot="1" x14ac:dyDescent="0.25">
      <c r="B64" s="56"/>
      <c r="C64" s="14" t="str">
        <f>$C$4</f>
        <v>absolut</v>
      </c>
      <c r="D64" s="15"/>
      <c r="E64" s="16" t="str">
        <f>$E$4</f>
        <v>anteilig</v>
      </c>
      <c r="F64" s="17"/>
      <c r="G64" s="18" t="str">
        <f>$G$4</f>
        <v>absolut</v>
      </c>
      <c r="H64" s="15"/>
      <c r="I64" s="19" t="str">
        <f>$I$4</f>
        <v>anteilig</v>
      </c>
      <c r="J64" s="20"/>
      <c r="K64" s="21" t="str">
        <f>$K$4</f>
        <v>einzeln</v>
      </c>
      <c r="L64" s="22" t="str">
        <f>$L$4</f>
        <v>gesamt</v>
      </c>
    </row>
    <row r="65" spans="2:12" ht="14.25" customHeight="1" thickTop="1" x14ac:dyDescent="0.2">
      <c r="B65" s="62" t="str">
        <f>$B$5</f>
        <v>Kernenergie</v>
      </c>
      <c r="C65" s="23">
        <f>'[2]11 Netto-Kraftwerksleistung'!$E$7/1000</f>
        <v>20.47</v>
      </c>
      <c r="D65" s="63">
        <f>SUM(C65:C70)</f>
        <v>94.142999999999986</v>
      </c>
      <c r="E65" s="64">
        <f>C65/C$80</f>
        <v>0.15262223945363176</v>
      </c>
      <c r="F65" s="65">
        <f>SUM(C65:C70)/C$180</f>
        <v>0.55595056012566657</v>
      </c>
      <c r="G65" s="24">
        <v>133.22900000000001</v>
      </c>
      <c r="H65" s="66">
        <f>SUM(G65:G70)</f>
        <v>462.71100000000001</v>
      </c>
      <c r="I65" s="64">
        <f>G65/G$80</f>
        <v>0.24150913982003142</v>
      </c>
      <c r="J65" s="65">
        <f>SUM(I65:I70)</f>
        <v>0.83877335711644285</v>
      </c>
      <c r="K65" s="25">
        <f>G65/C65*1000</f>
        <v>6508.5002442598934</v>
      </c>
      <c r="L65" s="67">
        <f>H65/D65*1000</f>
        <v>4914.9804021541704</v>
      </c>
    </row>
    <row r="66" spans="2:12" ht="14.25" customHeight="1" x14ac:dyDescent="0.2">
      <c r="B66" s="51" t="str">
        <f>$B$6</f>
        <v>Braunkohle</v>
      </c>
      <c r="C66" s="26">
        <f>'[2]11 Netto-Kraftwerksleistung'!$E$8/1000</f>
        <v>19.86</v>
      </c>
      <c r="D66" s="68"/>
      <c r="E66" s="69">
        <f>C66/C$80</f>
        <v>0.14807414145330372</v>
      </c>
      <c r="F66" s="70"/>
      <c r="G66" s="27">
        <v>139.571</v>
      </c>
      <c r="H66" s="71"/>
      <c r="I66" s="69">
        <f>G66/G$80</f>
        <v>0.25300551797147469</v>
      </c>
      <c r="J66" s="70"/>
      <c r="K66" s="28">
        <f>G66/C66*1000</f>
        <v>7027.7442094662638</v>
      </c>
      <c r="L66" s="72"/>
    </row>
    <row r="67" spans="2:12" ht="14.25" customHeight="1" x14ac:dyDescent="0.2">
      <c r="B67" s="51" t="str">
        <f>$B$7</f>
        <v>Steinkohle</v>
      </c>
      <c r="C67" s="26">
        <f>'[2]11 Netto-Kraftwerksleistung'!$E$9/1000</f>
        <v>25.305</v>
      </c>
      <c r="D67" s="68"/>
      <c r="E67" s="69">
        <f>C67/C$80</f>
        <v>0.18867150803000254</v>
      </c>
      <c r="F67" s="70"/>
      <c r="G67" s="27">
        <v>119.131</v>
      </c>
      <c r="H67" s="71"/>
      <c r="I67" s="69">
        <f>G67/G$80</f>
        <v>0.21595317337741904</v>
      </c>
      <c r="J67" s="70"/>
      <c r="K67" s="28">
        <f>G67/C67*1000</f>
        <v>4707.8047816637027</v>
      </c>
      <c r="L67" s="72"/>
    </row>
    <row r="68" spans="2:12" ht="14.25" customHeight="1" x14ac:dyDescent="0.2">
      <c r="B68" s="51" t="str">
        <f>$B$8</f>
        <v>Erdgas</v>
      </c>
      <c r="C68" s="26">
        <f>'[2]11 Netto-Kraftwerksleistung'!$E$11/1000</f>
        <v>19.3</v>
      </c>
      <c r="D68" s="68"/>
      <c r="E68" s="69">
        <f>C68/C$80</f>
        <v>0.14389883837103534</v>
      </c>
      <c r="F68" s="70"/>
      <c r="G68" s="27">
        <v>59.265000000000001</v>
      </c>
      <c r="H68" s="71"/>
      <c r="I68" s="69">
        <f>G68/G$80</f>
        <v>0.10743185921559241</v>
      </c>
      <c r="J68" s="70"/>
      <c r="K68" s="28">
        <f>G68/C68*1000</f>
        <v>3070.7253886010362</v>
      </c>
      <c r="L68" s="72"/>
    </row>
    <row r="69" spans="2:12" ht="14.25" customHeight="1" x14ac:dyDescent="0.2">
      <c r="B69" s="51" t="str">
        <f>$B$9</f>
        <v>Mineralöl</v>
      </c>
      <c r="C69" s="26">
        <f>'[2]11 Netto-Kraftwerksleistung'!$E$10/1000</f>
        <v>5.7</v>
      </c>
      <c r="D69" s="68"/>
      <c r="E69" s="69">
        <f>C69/C$80</f>
        <v>4.2498620658803186E-2</v>
      </c>
      <c r="F69" s="70"/>
      <c r="G69" s="27">
        <v>2.8780000000000001</v>
      </c>
      <c r="H69" s="71"/>
      <c r="I69" s="69">
        <f>G69/G$80</f>
        <v>5.2170571302197748E-3</v>
      </c>
      <c r="J69" s="70"/>
      <c r="K69" s="28">
        <f>G69/C69*1000</f>
        <v>504.91228070175441</v>
      </c>
      <c r="L69" s="72"/>
    </row>
    <row r="70" spans="2:12" ht="14.25" customHeight="1" x14ac:dyDescent="0.2">
      <c r="B70" s="74" t="str">
        <f>$B$10</f>
        <v>sonstige</v>
      </c>
      <c r="C70" s="29">
        <f>'[2]11 Netto-Kraftwerksleistung'!$E$12/1000</f>
        <v>3.508</v>
      </c>
      <c r="D70" s="75"/>
      <c r="E70" s="76">
        <f>C70/C$80</f>
        <v>2.6155291451066941E-2</v>
      </c>
      <c r="F70" s="77"/>
      <c r="G70" s="30">
        <v>8.6370000000000005</v>
      </c>
      <c r="H70" s="78"/>
      <c r="I70" s="76">
        <f>G70/G$80</f>
        <v>1.565660960170542E-2</v>
      </c>
      <c r="J70" s="77"/>
      <c r="K70" s="31">
        <f>G70/C70*1000</f>
        <v>2462.0866590649944</v>
      </c>
      <c r="L70" s="80"/>
    </row>
    <row r="71" spans="2:12" ht="14.25" customHeight="1" x14ac:dyDescent="0.2">
      <c r="B71" s="32" t="str">
        <f>$B$11</f>
        <v>Pumpspeicher</v>
      </c>
      <c r="C71" s="81">
        <f>'[2]11 Netto-Kraftwerksleistung'!$E$4/1000</f>
        <v>5.71</v>
      </c>
      <c r="D71" s="82"/>
      <c r="E71" s="83">
        <f>C71/C$80</f>
        <v>4.2573179642415117E-2</v>
      </c>
      <c r="F71" s="84"/>
      <c r="G71" s="85">
        <v>6.7370000000000001</v>
      </c>
      <c r="H71" s="82"/>
      <c r="I71" s="86">
        <f>G71/G$80</f>
        <v>1.2212409272512378E-2</v>
      </c>
      <c r="J71" s="87"/>
      <c r="K71" s="88">
        <f>G71/C71*1000</f>
        <v>1179.859894921191</v>
      </c>
      <c r="L71" s="89"/>
    </row>
    <row r="72" spans="2:12" ht="14.25" customHeight="1" x14ac:dyDescent="0.2">
      <c r="B72" s="33" t="str">
        <f>$B$12</f>
        <v>Pumparbeit</v>
      </c>
      <c r="C72" s="93"/>
      <c r="D72" s="49" t="s">
        <v>27</v>
      </c>
      <c r="E72" s="94">
        <f>G71/G72</f>
        <v>0.73164639443961776</v>
      </c>
      <c r="F72" s="95"/>
      <c r="G72" s="96">
        <v>9.2080000000000002</v>
      </c>
      <c r="H72" s="97"/>
      <c r="I72" s="98">
        <f>G72/G$80</f>
        <v>1.6691682437478695E-2</v>
      </c>
      <c r="J72" s="99"/>
      <c r="K72" s="100" t="s">
        <v>0</v>
      </c>
      <c r="L72" s="101"/>
    </row>
    <row r="73" spans="2:12" ht="14.25" customHeight="1" x14ac:dyDescent="0.2">
      <c r="B73" s="34" t="str">
        <f>$B$13</f>
        <v>Wasserkraft</v>
      </c>
      <c r="C73" s="106">
        <f>'[2]11 Netto-Kraftwerksleistung'!$E$3/1000</f>
        <v>4.3</v>
      </c>
      <c r="D73" s="107">
        <f>SUM(C73:C78)</f>
        <v>34.269000000000005</v>
      </c>
      <c r="E73" s="108">
        <f>C73/C$80</f>
        <v>3.2060362953132228E-2</v>
      </c>
      <c r="F73" s="109">
        <f>SUM(E73:E78)</f>
        <v>0.25550618093974148</v>
      </c>
      <c r="G73" s="110">
        <v>20.384</v>
      </c>
      <c r="H73" s="111">
        <f>SUM(G73:G78)</f>
        <v>86.703999999999994</v>
      </c>
      <c r="I73" s="108">
        <f>G73/G$80</f>
        <v>3.6950831321195234E-2</v>
      </c>
      <c r="J73" s="109">
        <f>SUM(I73:I78)</f>
        <v>0.15717155018018603</v>
      </c>
      <c r="K73" s="112">
        <f>G73/C73*1000</f>
        <v>4740.4651162790706</v>
      </c>
      <c r="L73" s="113">
        <f>H73/D73*1000</f>
        <v>2530.1000904607654</v>
      </c>
    </row>
    <row r="74" spans="2:12" ht="14.25" customHeight="1" x14ac:dyDescent="0.2">
      <c r="B74" s="35" t="str">
        <f>$B$14</f>
        <v>Wind</v>
      </c>
      <c r="C74" s="128">
        <v>22.289000000000001</v>
      </c>
      <c r="D74" s="115"/>
      <c r="E74" s="120">
        <f>C74/C$80</f>
        <v>0.16618451857264285</v>
      </c>
      <c r="F74" s="117"/>
      <c r="G74" s="52">
        <v>39.631999999999998</v>
      </c>
      <c r="H74" s="119"/>
      <c r="I74" s="120">
        <f>G74/G$80</f>
        <v>7.1842393392936105E-2</v>
      </c>
      <c r="J74" s="117"/>
      <c r="K74" s="125">
        <f>G74/C74*1000</f>
        <v>1778.0968190587282</v>
      </c>
      <c r="L74" s="122"/>
    </row>
    <row r="75" spans="2:12" ht="14.25" customHeight="1" x14ac:dyDescent="0.2">
      <c r="B75" s="35" t="str">
        <f>$B$15</f>
        <v>Biomasse</v>
      </c>
      <c r="C75" s="128">
        <v>3.6859999999999999</v>
      </c>
      <c r="D75" s="115"/>
      <c r="E75" s="120">
        <f>C75/C$80</f>
        <v>2.7482441359359393E-2</v>
      </c>
      <c r="F75" s="117"/>
      <c r="G75" s="52">
        <v>19.117999999999999</v>
      </c>
      <c r="H75" s="119"/>
      <c r="I75" s="120">
        <f>G75/G$80</f>
        <v>3.4655906259743449E-2</v>
      </c>
      <c r="J75" s="117"/>
      <c r="K75" s="125">
        <f>G75/C75*1000</f>
        <v>5186.6521975040687</v>
      </c>
      <c r="L75" s="122"/>
    </row>
    <row r="76" spans="2:12" ht="14.25" customHeight="1" x14ac:dyDescent="0.2">
      <c r="B76" s="35" t="str">
        <f>$B$16</f>
        <v>Fotovoltaik</v>
      </c>
      <c r="C76" s="128">
        <v>3.9910000000000001</v>
      </c>
      <c r="D76" s="115"/>
      <c r="E76" s="120">
        <f>C76/C$80</f>
        <v>2.9756490359523421E-2</v>
      </c>
      <c r="F76" s="117"/>
      <c r="G76" s="52">
        <v>3.07</v>
      </c>
      <c r="H76" s="119"/>
      <c r="I76" s="120">
        <f>G76/G$80</f>
        <v>5.565102637169808E-3</v>
      </c>
      <c r="J76" s="117"/>
      <c r="K76" s="125">
        <f>G76/C76*1000</f>
        <v>769.23076923076917</v>
      </c>
      <c r="L76" s="122"/>
    </row>
    <row r="77" spans="2:12" ht="14.25" customHeight="1" x14ac:dyDescent="0.2">
      <c r="B77" s="35" t="s">
        <v>26</v>
      </c>
      <c r="C77" s="156" t="s">
        <v>0</v>
      </c>
      <c r="D77" s="115"/>
      <c r="E77" s="155" t="s">
        <v>0</v>
      </c>
      <c r="F77" s="117"/>
      <c r="G77" s="158">
        <v>4.5</v>
      </c>
      <c r="H77" s="119"/>
      <c r="I77" s="120">
        <f>G77/G$80</f>
        <v>8.1573165691414123E-3</v>
      </c>
      <c r="J77" s="117"/>
      <c r="K77" s="154" t="s">
        <v>0</v>
      </c>
      <c r="L77" s="122"/>
    </row>
    <row r="78" spans="2:12" ht="14.25" customHeight="1" thickBot="1" x14ac:dyDescent="0.25">
      <c r="B78" s="36" t="str">
        <f>$B$18</f>
        <v>Geothermie</v>
      </c>
      <c r="C78" s="130">
        <v>3.0000000000000001E-3</v>
      </c>
      <c r="D78" s="131"/>
      <c r="E78" s="132">
        <f>C78/C$80</f>
        <v>2.2367695083580623E-5</v>
      </c>
      <c r="F78" s="133"/>
      <c r="G78" s="134">
        <v>0</v>
      </c>
      <c r="H78" s="135"/>
      <c r="I78" s="132">
        <f>G78/G$80</f>
        <v>0</v>
      </c>
      <c r="J78" s="133"/>
      <c r="K78" s="157">
        <f>G78/C78*1000</f>
        <v>0</v>
      </c>
      <c r="L78" s="136"/>
    </row>
    <row r="79" spans="2:12" ht="14.25" customHeight="1" thickBot="1" x14ac:dyDescent="0.25">
      <c r="B79" s="37" t="str">
        <f>$B$19</f>
        <v>Netzverluste</v>
      </c>
      <c r="C79" s="139" t="s">
        <v>0</v>
      </c>
      <c r="D79" s="140" t="s">
        <v>0</v>
      </c>
      <c r="E79" s="141" t="s">
        <v>0</v>
      </c>
      <c r="F79" s="142" t="s">
        <v>0</v>
      </c>
      <c r="G79" s="143"/>
      <c r="H79" s="144"/>
      <c r="I79" s="145">
        <f>G79/G80</f>
        <v>0</v>
      </c>
      <c r="J79" s="146"/>
      <c r="K79" s="147" t="s">
        <v>0</v>
      </c>
      <c r="L79" s="148"/>
    </row>
    <row r="80" spans="2:12" ht="14.25" customHeight="1" thickTop="1" thickBot="1" x14ac:dyDescent="0.25">
      <c r="B80" s="38" t="str">
        <f>$B$20</f>
        <v>Gesamt</v>
      </c>
      <c r="C80" s="39">
        <f>SUM(C65:C78)</f>
        <v>134.12199999999999</v>
      </c>
      <c r="D80" s="40"/>
      <c r="E80" s="41">
        <f>SUM(E65:E71,E73:E78)</f>
        <v>1.0000000000000002</v>
      </c>
      <c r="F80" s="42"/>
      <c r="G80" s="43">
        <f>SUM(G65:G71,G73:G76)</f>
        <v>551.65200000000016</v>
      </c>
      <c r="H80" s="44"/>
      <c r="I80" s="41">
        <f>J65+I71+J73</f>
        <v>1.0081573165691413</v>
      </c>
      <c r="J80" s="42"/>
      <c r="K80" s="45">
        <f>G80/C80*1000</f>
        <v>4113.0612427491405</v>
      </c>
      <c r="L80" s="46"/>
    </row>
    <row r="81" spans="2:12" ht="14.25" thickTop="1" thickBot="1" x14ac:dyDescent="0.25"/>
    <row r="82" spans="2:12" ht="19.5" customHeight="1" thickTop="1" thickBot="1" x14ac:dyDescent="0.25">
      <c r="B82" s="2" t="str">
        <f>$B$2</f>
        <v>Allgemeine Stromversorgung Deutschlands nach BDEW</v>
      </c>
      <c r="C82" s="3"/>
      <c r="D82" s="3"/>
      <c r="E82" s="4"/>
      <c r="F82" s="4"/>
      <c r="G82" s="3"/>
      <c r="H82" s="3"/>
      <c r="I82" s="4"/>
      <c r="J82" s="4"/>
      <c r="K82" s="5"/>
      <c r="L82" s="6"/>
    </row>
    <row r="83" spans="2:12" ht="14.25" customHeight="1" thickTop="1" x14ac:dyDescent="0.2">
      <c r="B83" s="55">
        <v>2008</v>
      </c>
      <c r="C83" s="7" t="str">
        <f>$C$3</f>
        <v>Netto-Engpassleistung</v>
      </c>
      <c r="D83" s="8"/>
      <c r="E83" s="9"/>
      <c r="F83" s="10"/>
      <c r="G83" s="11" t="str">
        <f>$G$3</f>
        <v>Netto-Erzeugung</v>
      </c>
      <c r="H83" s="8"/>
      <c r="I83" s="9"/>
      <c r="J83" s="10"/>
      <c r="K83" s="12" t="str">
        <f>$K$3</f>
        <v>Auslastung</v>
      </c>
      <c r="L83" s="13"/>
    </row>
    <row r="84" spans="2:12" ht="14.25" customHeight="1" thickBot="1" x14ac:dyDescent="0.25">
      <c r="B84" s="56"/>
      <c r="C84" s="14" t="str">
        <f>$C$4</f>
        <v>absolut</v>
      </c>
      <c r="D84" s="15"/>
      <c r="E84" s="16" t="str">
        <f>$E$4</f>
        <v>anteilig</v>
      </c>
      <c r="F84" s="17"/>
      <c r="G84" s="18" t="str">
        <f>$G$4</f>
        <v>absolut</v>
      </c>
      <c r="H84" s="15"/>
      <c r="I84" s="19" t="str">
        <f>$I$4</f>
        <v>anteilig</v>
      </c>
      <c r="J84" s="20"/>
      <c r="K84" s="21" t="str">
        <f>$K$4</f>
        <v>einzeln</v>
      </c>
      <c r="L84" s="22" t="str">
        <f>$L$4</f>
        <v>gesamt</v>
      </c>
    </row>
    <row r="85" spans="2:12" ht="14.25" customHeight="1" thickTop="1" x14ac:dyDescent="0.2">
      <c r="B85" s="62" t="str">
        <f>$B$5</f>
        <v>Kernenergie</v>
      </c>
      <c r="C85" s="23">
        <v>20.47</v>
      </c>
      <c r="D85" s="63">
        <f>SUM(C85:C90)</f>
        <v>94.249000000000009</v>
      </c>
      <c r="E85" s="64">
        <f>C85/C$100</f>
        <v>0.14724711907810495</v>
      </c>
      <c r="F85" s="65">
        <f>SUM(E85:E90)</f>
        <v>0.67796256599864757</v>
      </c>
      <c r="G85" s="24">
        <v>140.71</v>
      </c>
      <c r="H85" s="66">
        <f>SUM(G85:G90)</f>
        <v>462.28100000000001</v>
      </c>
      <c r="I85" s="64">
        <f>G85/G$100</f>
        <v>0.25329193105620817</v>
      </c>
      <c r="J85" s="65">
        <f>SUM(I85:I90)</f>
        <v>0.83215156833625858</v>
      </c>
      <c r="K85" s="25">
        <f>G85/C85*1000</f>
        <v>6873.9618954567668</v>
      </c>
      <c r="L85" s="67">
        <f>H85/D85*1000</f>
        <v>4904.8902375622019</v>
      </c>
    </row>
    <row r="86" spans="2:12" ht="14.25" customHeight="1" x14ac:dyDescent="0.2">
      <c r="B86" s="51" t="str">
        <f>$B$6</f>
        <v>Braunkohle</v>
      </c>
      <c r="C86" s="26">
        <v>19.850000000000001</v>
      </c>
      <c r="D86" s="68"/>
      <c r="E86" s="69">
        <f>C86/C$100</f>
        <v>0.14278726495849456</v>
      </c>
      <c r="F86" s="70"/>
      <c r="G86" s="27">
        <v>135.66499999999999</v>
      </c>
      <c r="H86" s="71"/>
      <c r="I86" s="69">
        <f>G86/G$100</f>
        <v>0.24421043157373659</v>
      </c>
      <c r="J86" s="70"/>
      <c r="K86" s="28">
        <f>G86/C86*1000</f>
        <v>6834.508816120906</v>
      </c>
      <c r="L86" s="72"/>
    </row>
    <row r="87" spans="2:12" ht="14.25" customHeight="1" x14ac:dyDescent="0.2">
      <c r="B87" s="51" t="str">
        <f>$B$7</f>
        <v>Steinkohle</v>
      </c>
      <c r="C87" s="26">
        <v>25.305</v>
      </c>
      <c r="D87" s="68"/>
      <c r="E87" s="69">
        <f>C87/C$100</f>
        <v>0.18202678789797</v>
      </c>
      <c r="F87" s="70"/>
      <c r="G87" s="27">
        <v>105.714</v>
      </c>
      <c r="H87" s="71"/>
      <c r="I87" s="69">
        <f>G87/G$100</f>
        <v>0.19029566626164443</v>
      </c>
      <c r="J87" s="70"/>
      <c r="K87" s="28">
        <f>G87/C87*1000</f>
        <v>4177.5933609958511</v>
      </c>
      <c r="L87" s="72"/>
    </row>
    <row r="88" spans="2:12" ht="14.25" customHeight="1" x14ac:dyDescent="0.2">
      <c r="B88" s="51" t="str">
        <f>$B$8</f>
        <v>Erdgas</v>
      </c>
      <c r="C88" s="26">
        <v>19.864000000000001</v>
      </c>
      <c r="D88" s="68"/>
      <c r="E88" s="69">
        <f>C88/C$100</f>
        <v>0.14288797134184061</v>
      </c>
      <c r="F88" s="70"/>
      <c r="G88" s="27">
        <v>69.203999999999994</v>
      </c>
      <c r="H88" s="71"/>
      <c r="I88" s="69">
        <f>G88/G$100</f>
        <v>0.12457405157283652</v>
      </c>
      <c r="J88" s="70"/>
      <c r="K88" s="28">
        <f>G88/C88*1000</f>
        <v>3483.8904550946431</v>
      </c>
      <c r="L88" s="72"/>
    </row>
    <row r="89" spans="2:12" ht="14.25" customHeight="1" x14ac:dyDescent="0.2">
      <c r="B89" s="51" t="str">
        <f>$B$9</f>
        <v>Mineralöl</v>
      </c>
      <c r="C89" s="26">
        <v>5.64</v>
      </c>
      <c r="D89" s="68"/>
      <c r="E89" s="69">
        <f>C89/C$100</f>
        <v>4.0570285862262433E-2</v>
      </c>
      <c r="F89" s="70"/>
      <c r="G89" s="27">
        <v>3.0329999999999999</v>
      </c>
      <c r="H89" s="71"/>
      <c r="I89" s="69">
        <f>G89/G$100</f>
        <v>5.4597002835155943E-3</v>
      </c>
      <c r="J89" s="70"/>
      <c r="K89" s="28">
        <f>G89/C89*1000</f>
        <v>537.76595744680856</v>
      </c>
      <c r="L89" s="72"/>
    </row>
    <row r="90" spans="2:12" ht="14.25" customHeight="1" x14ac:dyDescent="0.2">
      <c r="B90" s="74" t="str">
        <f>$B$10</f>
        <v>sonstige</v>
      </c>
      <c r="C90" s="29">
        <v>3.12</v>
      </c>
      <c r="D90" s="75"/>
      <c r="E90" s="76">
        <f>C90/C$100</f>
        <v>2.2443136859974962E-2</v>
      </c>
      <c r="F90" s="77"/>
      <c r="G90" s="30">
        <v>7.9550000000000001</v>
      </c>
      <c r="H90" s="78"/>
      <c r="I90" s="76">
        <f>G90/G$100</f>
        <v>1.4319787588317361E-2</v>
      </c>
      <c r="J90" s="77"/>
      <c r="K90" s="31">
        <f>G90/C90*1000</f>
        <v>2549.6794871794873</v>
      </c>
      <c r="L90" s="80"/>
    </row>
    <row r="91" spans="2:12" ht="14.25" customHeight="1" x14ac:dyDescent="0.2">
      <c r="B91" s="32" t="str">
        <f>$B$11</f>
        <v>Pumpspeicher</v>
      </c>
      <c r="C91" s="81">
        <v>5.71</v>
      </c>
      <c r="D91" s="82"/>
      <c r="E91" s="83">
        <f>C91/C$100</f>
        <v>4.107381777899264E-2</v>
      </c>
      <c r="F91" s="84"/>
      <c r="G91" s="85">
        <v>5.9329999999999998</v>
      </c>
      <c r="H91" s="82"/>
      <c r="I91" s="86">
        <f>G91/G$100</f>
        <v>1.0679987399306964E-2</v>
      </c>
      <c r="J91" s="87"/>
      <c r="K91" s="88">
        <f>G91/C91*1000</f>
        <v>1039.0542907180384</v>
      </c>
      <c r="L91" s="89"/>
    </row>
    <row r="92" spans="2:12" ht="14.25" customHeight="1" x14ac:dyDescent="0.2">
      <c r="B92" s="33" t="str">
        <f>$B$12</f>
        <v>Pumparbeit</v>
      </c>
      <c r="C92" s="93"/>
      <c r="D92" s="49" t="s">
        <v>27</v>
      </c>
      <c r="E92" s="94">
        <f>G91/G92</f>
        <v>0.74647710115752386</v>
      </c>
      <c r="F92" s="95"/>
      <c r="G92" s="96">
        <v>7.9480000000000004</v>
      </c>
      <c r="H92" s="97"/>
      <c r="I92" s="98">
        <f>G92/G$100</f>
        <v>1.4307186895279244E-2</v>
      </c>
      <c r="J92" s="99"/>
      <c r="K92" s="100" t="s">
        <v>0</v>
      </c>
      <c r="L92" s="101"/>
    </row>
    <row r="93" spans="2:12" ht="14.25" customHeight="1" x14ac:dyDescent="0.2">
      <c r="B93" s="34" t="str">
        <f>$B$13</f>
        <v>Wasserkraft</v>
      </c>
      <c r="C93" s="106">
        <v>5.14</v>
      </c>
      <c r="D93" s="107">
        <f>SUM(C93:C98)</f>
        <v>39.058999999999997</v>
      </c>
      <c r="E93" s="108">
        <f>C93/C$100</f>
        <v>3.6973629314189523E-2</v>
      </c>
      <c r="F93" s="109">
        <f>SUM(E93:E98)</f>
        <v>0.2809636162223596</v>
      </c>
      <c r="G93" s="110">
        <v>19.759</v>
      </c>
      <c r="H93" s="111">
        <f>SUM(G93:G98)</f>
        <v>87.310999999999993</v>
      </c>
      <c r="I93" s="108">
        <f>G93/G$100</f>
        <v>3.5568156248593684E-2</v>
      </c>
      <c r="J93" s="109">
        <f>SUM(I93:I98)</f>
        <v>0.1571684442644346</v>
      </c>
      <c r="K93" s="112">
        <f>G93/C93*1000</f>
        <v>3844.1634241245138</v>
      </c>
      <c r="L93" s="113">
        <v>2530.1000904607654</v>
      </c>
    </row>
    <row r="94" spans="2:12" ht="14.25" customHeight="1" x14ac:dyDescent="0.2">
      <c r="B94" s="35" t="str">
        <f>$B$14</f>
        <v>Wind</v>
      </c>
      <c r="C94" s="128">
        <v>23.902999999999999</v>
      </c>
      <c r="D94" s="115"/>
      <c r="E94" s="120">
        <f>C94/C$100</f>
        <v>0.17194176293717356</v>
      </c>
      <c r="F94" s="117"/>
      <c r="G94" s="52">
        <v>40.546999999999997</v>
      </c>
      <c r="H94" s="119"/>
      <c r="I94" s="120">
        <f>G94/G$100</f>
        <v>7.2988614373790575E-2</v>
      </c>
      <c r="J94" s="117"/>
      <c r="K94" s="125">
        <f>G94/C94*1000</f>
        <v>1696.3142701752918</v>
      </c>
      <c r="L94" s="122"/>
    </row>
    <row r="95" spans="2:12" ht="14.25" customHeight="1" x14ac:dyDescent="0.2">
      <c r="B95" s="35" t="str">
        <f>$B$15</f>
        <v>Biomasse</v>
      </c>
      <c r="C95" s="128">
        <v>4.0540000000000003</v>
      </c>
      <c r="D95" s="115"/>
      <c r="E95" s="120">
        <f>C95/C$100</f>
        <v>2.9161691291775163E-2</v>
      </c>
      <c r="F95" s="117"/>
      <c r="G95" s="52">
        <v>22.579000000000001</v>
      </c>
      <c r="H95" s="119"/>
      <c r="I95" s="120">
        <f>G95/G$100</f>
        <v>4.0644435443949425E-2</v>
      </c>
      <c r="J95" s="117"/>
      <c r="K95" s="125">
        <f>G95/C95*1000</f>
        <v>5569.5609274790331</v>
      </c>
      <c r="L95" s="122"/>
    </row>
    <row r="96" spans="2:12" ht="14.25" customHeight="1" x14ac:dyDescent="0.2">
      <c r="B96" s="35" t="str">
        <f>$B$16</f>
        <v>Fotovoltaik</v>
      </c>
      <c r="C96" s="128">
        <v>5.9550000000000001</v>
      </c>
      <c r="D96" s="115"/>
      <c r="E96" s="120">
        <f>C96/C$100</f>
        <v>4.2836179487548365E-2</v>
      </c>
      <c r="F96" s="117"/>
      <c r="G96" s="52">
        <v>4.4139999999999997</v>
      </c>
      <c r="H96" s="119"/>
      <c r="I96" s="120">
        <f>G96/G$100</f>
        <v>7.9456370100355542E-3</v>
      </c>
      <c r="J96" s="117"/>
      <c r="K96" s="125">
        <f>G96/C96*1000</f>
        <v>741.22586062132655</v>
      </c>
      <c r="L96" s="122"/>
    </row>
    <row r="97" spans="2:12" ht="14.25" customHeight="1" x14ac:dyDescent="0.2">
      <c r="B97" s="35" t="str">
        <f>$B$77</f>
        <v>Hausmüll</v>
      </c>
      <c r="C97" s="156"/>
      <c r="D97" s="115"/>
      <c r="E97" s="155" t="s">
        <v>0</v>
      </c>
      <c r="F97" s="117"/>
      <c r="G97" s="52"/>
      <c r="H97" s="119"/>
      <c r="I97" s="120"/>
      <c r="J97" s="117"/>
      <c r="K97" s="154" t="s">
        <v>0</v>
      </c>
      <c r="L97" s="122"/>
    </row>
    <row r="98" spans="2:12" ht="14.25" customHeight="1" thickBot="1" x14ac:dyDescent="0.25">
      <c r="B98" s="36" t="str">
        <f>$B$18</f>
        <v>Geothermie</v>
      </c>
      <c r="C98" s="130">
        <v>7.0000000000000001E-3</v>
      </c>
      <c r="D98" s="131"/>
      <c r="E98" s="132">
        <f>C98/C$100</f>
        <v>5.0353191673020748E-5</v>
      </c>
      <c r="F98" s="133"/>
      <c r="G98" s="134">
        <v>1.2E-2</v>
      </c>
      <c r="H98" s="135"/>
      <c r="I98" s="132">
        <f>G98/G$100</f>
        <v>2.1601188065343601E-5</v>
      </c>
      <c r="J98" s="133"/>
      <c r="K98" s="157">
        <f>G98/C98*1000</f>
        <v>1714.2857142857142</v>
      </c>
      <c r="L98" s="136"/>
    </row>
    <row r="99" spans="2:12" ht="14.25" customHeight="1" thickBot="1" x14ac:dyDescent="0.25">
      <c r="B99" s="37" t="str">
        <f>$B$19</f>
        <v>Netzverluste</v>
      </c>
      <c r="C99" s="139" t="s">
        <v>0</v>
      </c>
      <c r="D99" s="140" t="s">
        <v>0</v>
      </c>
      <c r="E99" s="141" t="s">
        <v>0</v>
      </c>
      <c r="F99" s="142" t="s">
        <v>0</v>
      </c>
      <c r="G99" s="143">
        <v>32.268000000000001</v>
      </c>
      <c r="H99" s="144"/>
      <c r="I99" s="145">
        <f>G99/G100</f>
        <v>5.8085594707708937E-2</v>
      </c>
      <c r="J99" s="146"/>
      <c r="K99" s="147" t="s">
        <v>0</v>
      </c>
      <c r="L99" s="148"/>
    </row>
    <row r="100" spans="2:12" ht="14.25" customHeight="1" thickTop="1" thickBot="1" x14ac:dyDescent="0.25">
      <c r="B100" s="38" t="str">
        <f>$B$20</f>
        <v>Gesamt</v>
      </c>
      <c r="C100" s="39">
        <f>SUM(C85:C98)</f>
        <v>139.01800000000003</v>
      </c>
      <c r="D100" s="40"/>
      <c r="E100" s="41">
        <f>SUM(E85:E91,E93:E98)</f>
        <v>0.99999999999999989</v>
      </c>
      <c r="F100" s="42"/>
      <c r="G100" s="43">
        <f>SUM(G85:G91,G93:G98)</f>
        <v>555.52499999999986</v>
      </c>
      <c r="H100" s="44"/>
      <c r="I100" s="41">
        <f>J85+I91+J93</f>
        <v>1.0000000000000002</v>
      </c>
      <c r="J100" s="42"/>
      <c r="K100" s="45">
        <f>G100/C100*1000</f>
        <v>3996.0652577364062</v>
      </c>
      <c r="L100" s="46"/>
    </row>
    <row r="101" spans="2:12" ht="14.25" thickTop="1" thickBot="1" x14ac:dyDescent="0.25"/>
    <row r="102" spans="2:12" ht="19.5" customHeight="1" thickTop="1" thickBot="1" x14ac:dyDescent="0.25">
      <c r="B102" s="2" t="str">
        <f>$B$2</f>
        <v>Allgemeine Stromversorgung Deutschlands nach BDEW</v>
      </c>
      <c r="C102" s="3"/>
      <c r="D102" s="3"/>
      <c r="E102" s="4"/>
      <c r="F102" s="4"/>
      <c r="G102" s="3"/>
      <c r="H102" s="3"/>
      <c r="I102" s="4"/>
      <c r="J102" s="4"/>
      <c r="K102" s="5"/>
      <c r="L102" s="6"/>
    </row>
    <row r="103" spans="2:12" ht="14.25" customHeight="1" thickTop="1" x14ac:dyDescent="0.2">
      <c r="B103" s="55">
        <v>2009</v>
      </c>
      <c r="C103" s="7" t="str">
        <f>$C$3</f>
        <v>Netto-Engpassleistung</v>
      </c>
      <c r="D103" s="8"/>
      <c r="E103" s="9"/>
      <c r="F103" s="10"/>
      <c r="G103" s="11" t="str">
        <f>$G$3</f>
        <v>Netto-Erzeugung</v>
      </c>
      <c r="H103" s="8"/>
      <c r="I103" s="9"/>
      <c r="J103" s="10"/>
      <c r="K103" s="12" t="str">
        <f>$K$3</f>
        <v>Auslastung</v>
      </c>
      <c r="L103" s="13"/>
    </row>
    <row r="104" spans="2:12" ht="14.25" customHeight="1" thickBot="1" x14ac:dyDescent="0.25">
      <c r="B104" s="56"/>
      <c r="C104" s="14" t="str">
        <f>$C$4</f>
        <v>absolut</v>
      </c>
      <c r="D104" s="15"/>
      <c r="E104" s="16" t="str">
        <f>$E$4</f>
        <v>anteilig</v>
      </c>
      <c r="F104" s="17"/>
      <c r="G104" s="18" t="str">
        <f>$G$4</f>
        <v>absolut</v>
      </c>
      <c r="H104" s="15"/>
      <c r="I104" s="19" t="str">
        <f>$I$4</f>
        <v>anteilig</v>
      </c>
      <c r="J104" s="20"/>
      <c r="K104" s="21" t="str">
        <f>$K$4</f>
        <v>einzeln</v>
      </c>
      <c r="L104" s="22" t="str">
        <f>$L$4</f>
        <v>gesamt</v>
      </c>
    </row>
    <row r="105" spans="2:12" ht="14.25" customHeight="1" thickTop="1" x14ac:dyDescent="0.2">
      <c r="B105" s="62" t="str">
        <f>$B$5</f>
        <v>Kernenergie</v>
      </c>
      <c r="C105" s="23"/>
      <c r="D105" s="63">
        <f>SUM(C105:C110)</f>
        <v>0</v>
      </c>
      <c r="E105" s="64" t="e">
        <f>C105/C$120</f>
        <v>#DIV/0!</v>
      </c>
      <c r="F105" s="65" t="e">
        <f>SUM(E105:E110)</f>
        <v>#DIV/0!</v>
      </c>
      <c r="G105" s="24">
        <v>134.9</v>
      </c>
      <c r="H105" s="66">
        <f>SUM(G105:G110)</f>
        <v>500.79999999999995</v>
      </c>
      <c r="I105" s="64">
        <f>G105/G$120</f>
        <v>0.22649429147078581</v>
      </c>
      <c r="J105" s="65">
        <f>SUM(I105:I110)</f>
        <v>0.84083277367360665</v>
      </c>
      <c r="K105" s="25" t="e">
        <f>G105/C105*1000</f>
        <v>#DIV/0!</v>
      </c>
      <c r="L105" s="67" t="e">
        <f>H105/D105*1000</f>
        <v>#DIV/0!</v>
      </c>
    </row>
    <row r="106" spans="2:12" ht="14.25" customHeight="1" x14ac:dyDescent="0.2">
      <c r="B106" s="51" t="str">
        <f>$B$6</f>
        <v>Braunkohle</v>
      </c>
      <c r="C106" s="26"/>
      <c r="D106" s="68"/>
      <c r="E106" s="69" t="e">
        <f>C106/C$120</f>
        <v>#DIV/0!</v>
      </c>
      <c r="F106" s="70"/>
      <c r="G106" s="27">
        <v>145.6</v>
      </c>
      <c r="H106" s="71"/>
      <c r="I106" s="69">
        <f>G106/G$120</f>
        <v>0.24445936870382809</v>
      </c>
      <c r="J106" s="70"/>
      <c r="K106" s="28" t="e">
        <f>G106/C106*1000</f>
        <v>#DIV/0!</v>
      </c>
      <c r="L106" s="72"/>
    </row>
    <row r="107" spans="2:12" ht="14.25" customHeight="1" x14ac:dyDescent="0.2">
      <c r="B107" s="51" t="str">
        <f>$B$7</f>
        <v>Steinkohle</v>
      </c>
      <c r="C107" s="26"/>
      <c r="D107" s="68"/>
      <c r="E107" s="69" t="e">
        <f>C107/C$120</f>
        <v>#DIV/0!</v>
      </c>
      <c r="F107" s="70"/>
      <c r="G107" s="27">
        <v>107.9</v>
      </c>
      <c r="H107" s="71"/>
      <c r="I107" s="69">
        <f>G107/G$120</f>
        <v>0.18116185359301548</v>
      </c>
      <c r="J107" s="70"/>
      <c r="K107" s="28" t="e">
        <f>G107/C107*1000</f>
        <v>#DIV/0!</v>
      </c>
      <c r="L107" s="72"/>
    </row>
    <row r="108" spans="2:12" ht="14.25" customHeight="1" x14ac:dyDescent="0.2">
      <c r="B108" s="51" t="str">
        <f>$B$8</f>
        <v>Erdgas</v>
      </c>
      <c r="C108" s="26"/>
      <c r="D108" s="68"/>
      <c r="E108" s="69" t="e">
        <f>C108/C$120</f>
        <v>#DIV/0!</v>
      </c>
      <c r="F108" s="70"/>
      <c r="G108" s="27">
        <v>80.900000000000006</v>
      </c>
      <c r="H108" s="71"/>
      <c r="I108" s="69">
        <f>G108/G$120</f>
        <v>0.13582941571524515</v>
      </c>
      <c r="J108" s="70"/>
      <c r="K108" s="28" t="e">
        <f>G108/C108*1000</f>
        <v>#DIV/0!</v>
      </c>
      <c r="L108" s="72"/>
    </row>
    <row r="109" spans="2:12" ht="14.25" customHeight="1" x14ac:dyDescent="0.2">
      <c r="B109" s="51" t="str">
        <f>$B$9</f>
        <v>Mineralöl</v>
      </c>
      <c r="C109" s="26"/>
      <c r="D109" s="68"/>
      <c r="E109" s="69" t="e">
        <f>C109/C$120</f>
        <v>#DIV/0!</v>
      </c>
      <c r="F109" s="70"/>
      <c r="G109" s="27">
        <v>10.1</v>
      </c>
      <c r="H109" s="71"/>
      <c r="I109" s="69">
        <f>G109/G$120</f>
        <v>1.6957689724647416E-2</v>
      </c>
      <c r="J109" s="70"/>
      <c r="K109" s="28" t="e">
        <f>G109/C109*1000</f>
        <v>#DIV/0!</v>
      </c>
      <c r="L109" s="72"/>
    </row>
    <row r="110" spans="2:12" ht="14.25" customHeight="1" x14ac:dyDescent="0.2">
      <c r="B110" s="74" t="str">
        <f>$B$10</f>
        <v>sonstige</v>
      </c>
      <c r="C110" s="29"/>
      <c r="D110" s="75"/>
      <c r="E110" s="76" t="e">
        <f>C110/C$120</f>
        <v>#DIV/0!</v>
      </c>
      <c r="F110" s="77"/>
      <c r="G110" s="30">
        <v>21.4</v>
      </c>
      <c r="H110" s="78"/>
      <c r="I110" s="76">
        <f>G110/G$120</f>
        <v>3.5930154466084621E-2</v>
      </c>
      <c r="J110" s="77"/>
      <c r="K110" s="31" t="e">
        <f>G110/C110*1000</f>
        <v>#DIV/0!</v>
      </c>
      <c r="L110" s="80"/>
    </row>
    <row r="111" spans="2:12" ht="14.25" customHeight="1" x14ac:dyDescent="0.2">
      <c r="B111" s="32" t="str">
        <f>$B$11</f>
        <v>Pumpspeicher</v>
      </c>
      <c r="C111" s="81"/>
      <c r="D111" s="82"/>
      <c r="E111" s="83" t="e">
        <f>C111/C$120</f>
        <v>#DIV/0!</v>
      </c>
      <c r="F111" s="84"/>
      <c r="G111" s="85"/>
      <c r="H111" s="82"/>
      <c r="I111" s="86">
        <f>G111/G$120</f>
        <v>0</v>
      </c>
      <c r="J111" s="87"/>
      <c r="K111" s="88" t="e">
        <f>G111/C111*1000</f>
        <v>#DIV/0!</v>
      </c>
      <c r="L111" s="89"/>
    </row>
    <row r="112" spans="2:12" ht="14.25" customHeight="1" x14ac:dyDescent="0.2">
      <c r="B112" s="33" t="str">
        <f>$B$12</f>
        <v>Pumparbeit</v>
      </c>
      <c r="C112" s="93"/>
      <c r="D112" s="49" t="s">
        <v>27</v>
      </c>
      <c r="E112" s="94" t="e">
        <f>G111/G112</f>
        <v>#DIV/0!</v>
      </c>
      <c r="F112" s="95"/>
      <c r="G112" s="96"/>
      <c r="H112" s="97"/>
      <c r="I112" s="98">
        <f>G112/G$120</f>
        <v>0</v>
      </c>
      <c r="J112" s="99"/>
      <c r="K112" s="100" t="s">
        <v>0</v>
      </c>
      <c r="L112" s="101"/>
    </row>
    <row r="113" spans="2:12" ht="14.25" customHeight="1" x14ac:dyDescent="0.2">
      <c r="B113" s="34" t="str">
        <f>$B$13</f>
        <v>Wasserkraft</v>
      </c>
      <c r="C113" s="106"/>
      <c r="D113" s="107">
        <f>SUM(C113:C118)</f>
        <v>0</v>
      </c>
      <c r="E113" s="108" t="e">
        <f>C113/C$120</f>
        <v>#DIV/0!</v>
      </c>
      <c r="F113" s="109" t="e">
        <f>SUM(E113:E118)</f>
        <v>#DIV/0!</v>
      </c>
      <c r="G113" s="110">
        <v>19</v>
      </c>
      <c r="H113" s="111">
        <f>SUM(G113:G118)</f>
        <v>94.8</v>
      </c>
      <c r="I113" s="108">
        <f>G113/G$120</f>
        <v>3.1900604432505045E-2</v>
      </c>
      <c r="J113" s="109">
        <f>SUM(I113:I118)</f>
        <v>0.15916722632639357</v>
      </c>
      <c r="K113" s="112" t="e">
        <f>G113/C113*1000</f>
        <v>#DIV/0!</v>
      </c>
      <c r="L113" s="113" t="e">
        <f>H113/D113*1000</f>
        <v>#DIV/0!</v>
      </c>
    </row>
    <row r="114" spans="2:12" ht="14.25" customHeight="1" x14ac:dyDescent="0.2">
      <c r="B114" s="35" t="str">
        <f>$B$14</f>
        <v>Wind</v>
      </c>
      <c r="C114" s="128"/>
      <c r="D114" s="115"/>
      <c r="E114" s="120" t="e">
        <f>C114/C$120</f>
        <v>#DIV/0!</v>
      </c>
      <c r="F114" s="117"/>
      <c r="G114" s="52">
        <v>38.6</v>
      </c>
      <c r="H114" s="119"/>
      <c r="I114" s="120">
        <f>G114/G$120</f>
        <v>6.4808596373404984E-2</v>
      </c>
      <c r="J114" s="117"/>
      <c r="K114" s="125" t="e">
        <f>G114/C114*1000</f>
        <v>#DIV/0!</v>
      </c>
      <c r="L114" s="122"/>
    </row>
    <row r="115" spans="2:12" ht="14.25" customHeight="1" x14ac:dyDescent="0.2">
      <c r="B115" s="35" t="str">
        <f>$B$15</f>
        <v>Biomasse</v>
      </c>
      <c r="C115" s="128"/>
      <c r="D115" s="115"/>
      <c r="E115" s="120" t="e">
        <f>C115/C$120</f>
        <v>#DIV/0!</v>
      </c>
      <c r="F115" s="117"/>
      <c r="G115" s="52">
        <v>26.3</v>
      </c>
      <c r="H115" s="119"/>
      <c r="I115" s="120">
        <f>G115/G$120</f>
        <v>4.4157152451309613E-2</v>
      </c>
      <c r="J115" s="117"/>
      <c r="K115" s="125" t="e">
        <f>G115/C115*1000</f>
        <v>#DIV/0!</v>
      </c>
      <c r="L115" s="122"/>
    </row>
    <row r="116" spans="2:12" ht="14.25" customHeight="1" x14ac:dyDescent="0.2">
      <c r="B116" s="35" t="str">
        <f>$B$16</f>
        <v>Fotovoltaik</v>
      </c>
      <c r="C116" s="128"/>
      <c r="D116" s="115"/>
      <c r="E116" s="120" t="e">
        <f>C116/C$120</f>
        <v>#DIV/0!</v>
      </c>
      <c r="F116" s="117"/>
      <c r="G116" s="52">
        <v>6.6</v>
      </c>
      <c r="H116" s="119"/>
      <c r="I116" s="120">
        <f>G116/G$120</f>
        <v>1.1081262592343856E-2</v>
      </c>
      <c r="J116" s="117"/>
      <c r="K116" s="125" t="e">
        <f>G116/C116*1000</f>
        <v>#DIV/0!</v>
      </c>
      <c r="L116" s="129"/>
    </row>
    <row r="117" spans="2:12" ht="14.25" customHeight="1" x14ac:dyDescent="0.2">
      <c r="B117" s="35" t="str">
        <f>$B$77</f>
        <v>Hausmüll</v>
      </c>
      <c r="C117" s="156"/>
      <c r="D117" s="115"/>
      <c r="E117" s="155" t="s">
        <v>0</v>
      </c>
      <c r="F117" s="117"/>
      <c r="G117" s="52">
        <v>4.3</v>
      </c>
      <c r="H117" s="119"/>
      <c r="I117" s="120">
        <f>G117/G$120</f>
        <v>7.219610476830088E-3</v>
      </c>
      <c r="J117" s="117"/>
      <c r="K117" s="154" t="s">
        <v>0</v>
      </c>
      <c r="L117" s="153" t="s">
        <v>0</v>
      </c>
    </row>
    <row r="118" spans="2:12" ht="14.25" customHeight="1" thickBot="1" x14ac:dyDescent="0.25">
      <c r="B118" s="36" t="str">
        <f>$B$18</f>
        <v>Geothermie</v>
      </c>
      <c r="C118" s="130"/>
      <c r="D118" s="131"/>
      <c r="E118" s="132" t="e">
        <f>C118/C$120</f>
        <v>#DIV/0!</v>
      </c>
      <c r="F118" s="133"/>
      <c r="G118" s="134">
        <v>0</v>
      </c>
      <c r="H118" s="135"/>
      <c r="I118" s="137" t="s">
        <v>0</v>
      </c>
      <c r="J118" s="133"/>
      <c r="K118" s="50" t="s">
        <v>0</v>
      </c>
      <c r="L118" s="138" t="s">
        <v>0</v>
      </c>
    </row>
    <row r="119" spans="2:12" ht="14.25" customHeight="1" thickBot="1" x14ac:dyDescent="0.25">
      <c r="B119" s="37" t="str">
        <f>$B$19</f>
        <v>Netzverluste</v>
      </c>
      <c r="C119" s="139" t="s">
        <v>0</v>
      </c>
      <c r="D119" s="140" t="s">
        <v>0</v>
      </c>
      <c r="E119" s="141" t="s">
        <v>0</v>
      </c>
      <c r="F119" s="142" t="s">
        <v>0</v>
      </c>
      <c r="G119" s="143"/>
      <c r="H119" s="144"/>
      <c r="I119" s="145">
        <f>G119/G120</f>
        <v>0</v>
      </c>
      <c r="J119" s="146"/>
      <c r="K119" s="147" t="s">
        <v>0</v>
      </c>
      <c r="L119" s="148"/>
    </row>
    <row r="120" spans="2:12" ht="14.25" customHeight="1" thickTop="1" thickBot="1" x14ac:dyDescent="0.25">
      <c r="B120" s="38" t="str">
        <f>$B$20</f>
        <v>Gesamt</v>
      </c>
      <c r="C120" s="39">
        <f>SUM(C105:C118)</f>
        <v>0</v>
      </c>
      <c r="D120" s="40"/>
      <c r="E120" s="41" t="e">
        <f>SUM(E105:E111,E113:E118)</f>
        <v>#DIV/0!</v>
      </c>
      <c r="F120" s="42"/>
      <c r="G120" s="43">
        <f>SUM(G105:G111,G113:G118)</f>
        <v>595.59999999999991</v>
      </c>
      <c r="H120" s="44"/>
      <c r="I120" s="41">
        <f>J105+I111+J113</f>
        <v>1.0000000000000002</v>
      </c>
      <c r="J120" s="42"/>
      <c r="K120" s="45" t="e">
        <f>G120/C120*1000</f>
        <v>#DIV/0!</v>
      </c>
      <c r="L120" s="46"/>
    </row>
    <row r="121" spans="2:12" ht="14.25" thickTop="1" thickBot="1" x14ac:dyDescent="0.25"/>
    <row r="122" spans="2:12" ht="19.5" customHeight="1" thickTop="1" thickBot="1" x14ac:dyDescent="0.25">
      <c r="B122" s="2" t="str">
        <f>$B$2</f>
        <v>Allgemeine Stromversorgung Deutschlands nach BDEW</v>
      </c>
      <c r="C122" s="3"/>
      <c r="D122" s="3"/>
      <c r="E122" s="4"/>
      <c r="F122" s="4"/>
      <c r="G122" s="3"/>
      <c r="H122" s="3"/>
      <c r="I122" s="4"/>
      <c r="J122" s="4"/>
      <c r="K122" s="5"/>
      <c r="L122" s="6"/>
    </row>
    <row r="123" spans="2:12" ht="14.25" customHeight="1" thickTop="1" x14ac:dyDescent="0.2">
      <c r="B123" s="55">
        <v>2010</v>
      </c>
      <c r="C123" s="7" t="str">
        <f>$C$3</f>
        <v>Netto-Engpassleistung</v>
      </c>
      <c r="D123" s="8"/>
      <c r="E123" s="9"/>
      <c r="F123" s="10"/>
      <c r="G123" s="11" t="str">
        <f>$G$3</f>
        <v>Netto-Erzeugung</v>
      </c>
      <c r="H123" s="8"/>
      <c r="I123" s="9"/>
      <c r="J123" s="10"/>
      <c r="K123" s="12" t="str">
        <f>$K$3</f>
        <v>Auslastung</v>
      </c>
      <c r="L123" s="13"/>
    </row>
    <row r="124" spans="2:12" ht="14.25" customHeight="1" thickBot="1" x14ac:dyDescent="0.25">
      <c r="B124" s="56"/>
      <c r="C124" s="14" t="str">
        <f>$C$4</f>
        <v>absolut</v>
      </c>
      <c r="D124" s="15"/>
      <c r="E124" s="16" t="str">
        <f>$E$4</f>
        <v>anteilig</v>
      </c>
      <c r="F124" s="17"/>
      <c r="G124" s="18" t="str">
        <f>$G$4</f>
        <v>absolut</v>
      </c>
      <c r="H124" s="15"/>
      <c r="I124" s="19" t="str">
        <f>$I$4</f>
        <v>anteilig</v>
      </c>
      <c r="J124" s="20"/>
      <c r="K124" s="21" t="str">
        <f>$K$4</f>
        <v>einzeln</v>
      </c>
      <c r="L124" s="22" t="str">
        <f>$L$4</f>
        <v>gesamt</v>
      </c>
    </row>
    <row r="125" spans="2:12" ht="14.25" customHeight="1" thickTop="1" x14ac:dyDescent="0.2">
      <c r="B125" s="62" t="str">
        <f>$B$5</f>
        <v>Kernenergie</v>
      </c>
      <c r="C125" s="23">
        <v>20.477</v>
      </c>
      <c r="D125" s="63">
        <f>SUM(C125:C130)</f>
        <v>105.842</v>
      </c>
      <c r="E125" s="64">
        <f>C125/C$140</f>
        <v>0.12288313589937472</v>
      </c>
      <c r="F125" s="65">
        <f>SUM(E125:E130)</f>
        <v>0.63516124773461047</v>
      </c>
      <c r="G125" s="24">
        <v>140.6</v>
      </c>
      <c r="H125" s="66">
        <f>SUM(G125:G130)</f>
        <v>533</v>
      </c>
      <c r="I125" s="64">
        <f>G125/G$140</f>
        <v>0.21972183153617753</v>
      </c>
      <c r="J125" s="65">
        <f>SUM(I125:I130)</f>
        <v>0.83294264728863876</v>
      </c>
      <c r="K125" s="25">
        <f>G125/C125*1000</f>
        <v>6866.2401719001809</v>
      </c>
      <c r="L125" s="67">
        <f>H125/D125*1000</f>
        <v>5035.8080913059093</v>
      </c>
    </row>
    <row r="126" spans="2:12" ht="14.25" customHeight="1" x14ac:dyDescent="0.2">
      <c r="B126" s="51" t="str">
        <f>$B$6</f>
        <v>Braunkohle</v>
      </c>
      <c r="C126" s="26">
        <v>20.376999999999999</v>
      </c>
      <c r="D126" s="68"/>
      <c r="E126" s="69">
        <f>C126/C$140</f>
        <v>0.12228303268162125</v>
      </c>
      <c r="F126" s="70"/>
      <c r="G126" s="27">
        <v>145.9</v>
      </c>
      <c r="H126" s="71"/>
      <c r="I126" s="69">
        <f>G126/G$140</f>
        <v>0.22800437568370061</v>
      </c>
      <c r="J126" s="70"/>
      <c r="K126" s="28">
        <f>G126/C126*1000</f>
        <v>7160.0333709574525</v>
      </c>
      <c r="L126" s="72"/>
    </row>
    <row r="127" spans="2:12" ht="14.25" customHeight="1" x14ac:dyDescent="0.2">
      <c r="B127" s="51" t="str">
        <f>$B$7</f>
        <v>Steinkohle</v>
      </c>
      <c r="C127" s="26">
        <v>27.89</v>
      </c>
      <c r="D127" s="68"/>
      <c r="E127" s="69">
        <f>C127/C$140</f>
        <v>0.16736878743143824</v>
      </c>
      <c r="F127" s="70"/>
      <c r="G127" s="27">
        <v>117</v>
      </c>
      <c r="H127" s="71"/>
      <c r="I127" s="69">
        <f>G127/G$140</f>
        <v>0.18284106891701829</v>
      </c>
      <c r="J127" s="70"/>
      <c r="K127" s="28">
        <f>G127/C127*1000</f>
        <v>4195.0519899605588</v>
      </c>
      <c r="L127" s="72"/>
    </row>
    <row r="128" spans="2:12" ht="14.25" customHeight="1" x14ac:dyDescent="0.2">
      <c r="B128" s="51" t="str">
        <f>$B$8</f>
        <v>Erdgas</v>
      </c>
      <c r="C128" s="26">
        <v>25.721</v>
      </c>
      <c r="D128" s="68"/>
      <c r="E128" s="69">
        <f>C128/C$140</f>
        <v>0.15435254863836581</v>
      </c>
      <c r="F128" s="70"/>
      <c r="G128" s="27">
        <v>89.3</v>
      </c>
      <c r="H128" s="71"/>
      <c r="I128" s="69">
        <f>G128/G$140</f>
        <v>0.13955305516486952</v>
      </c>
      <c r="J128" s="70"/>
      <c r="K128" s="28">
        <f>G128/C128*1000</f>
        <v>3471.8712336223321</v>
      </c>
      <c r="L128" s="72"/>
    </row>
    <row r="129" spans="2:12" ht="14.25" customHeight="1" x14ac:dyDescent="0.2">
      <c r="B129" s="51" t="str">
        <f>$B$9</f>
        <v>Mineralöl</v>
      </c>
      <c r="C129" s="26">
        <v>5.7880000000000003</v>
      </c>
      <c r="D129" s="68"/>
      <c r="E129" s="69">
        <f>C129/C$140</f>
        <v>3.4733974243569901E-2</v>
      </c>
      <c r="F129" s="70"/>
      <c r="G129" s="27">
        <v>8.6999999999999993</v>
      </c>
      <c r="H129" s="71"/>
      <c r="I129" s="69">
        <f>G129/G$140</f>
        <v>1.3595874355368026E-2</v>
      </c>
      <c r="J129" s="70"/>
      <c r="K129" s="28">
        <f>G129/C129*1000</f>
        <v>1503.1098825155493</v>
      </c>
      <c r="L129" s="72"/>
    </row>
    <row r="130" spans="2:12" ht="14.25" customHeight="1" x14ac:dyDescent="0.2">
      <c r="B130" s="74" t="s">
        <v>29</v>
      </c>
      <c r="C130" s="29">
        <f>4.259+1.33</f>
        <v>5.5890000000000004</v>
      </c>
      <c r="D130" s="75"/>
      <c r="E130" s="76">
        <f>C130/C$140</f>
        <v>3.3539768840240528E-2</v>
      </c>
      <c r="F130" s="77"/>
      <c r="G130" s="30">
        <f>26.8+4.7</f>
        <v>31.5</v>
      </c>
      <c r="H130" s="78"/>
      <c r="I130" s="76">
        <f>G130/G$140</f>
        <v>4.9226441631504927E-2</v>
      </c>
      <c r="J130" s="77"/>
      <c r="K130" s="31">
        <f>G130/C130*1000</f>
        <v>5636.0708534621572</v>
      </c>
      <c r="L130" s="80"/>
    </row>
    <row r="131" spans="2:12" ht="14.25" customHeight="1" x14ac:dyDescent="0.2">
      <c r="B131" s="32" t="str">
        <f>$B$11</f>
        <v>Pumpspeicher</v>
      </c>
      <c r="C131" s="81">
        <v>5.71</v>
      </c>
      <c r="D131" s="82"/>
      <c r="E131" s="83">
        <f>C131/C$140</f>
        <v>3.4265893733722207E-2</v>
      </c>
      <c r="F131" s="84"/>
      <c r="G131" s="85">
        <v>6.4</v>
      </c>
      <c r="H131" s="82"/>
      <c r="I131" s="86">
        <f>G131/G$140</f>
        <v>1.000156274417878E-2</v>
      </c>
      <c r="J131" s="87"/>
      <c r="K131" s="88">
        <f>G131/C131*1000</f>
        <v>1120.8406304728546</v>
      </c>
      <c r="L131" s="89"/>
    </row>
    <row r="132" spans="2:12" ht="14.25" customHeight="1" x14ac:dyDescent="0.2">
      <c r="B132" s="33" t="str">
        <f>$B$12</f>
        <v>Pumparbeit</v>
      </c>
      <c r="C132" s="93"/>
      <c r="D132" s="49" t="s">
        <v>27</v>
      </c>
      <c r="E132" s="94" t="e">
        <f>G131/G132</f>
        <v>#DIV/0!</v>
      </c>
      <c r="F132" s="95"/>
      <c r="G132" s="96"/>
      <c r="H132" s="97"/>
      <c r="I132" s="98">
        <f>G132/G$140</f>
        <v>0</v>
      </c>
      <c r="J132" s="99"/>
      <c r="K132" s="100" t="s">
        <v>0</v>
      </c>
      <c r="L132" s="101"/>
    </row>
    <row r="133" spans="2:12" ht="14.25" customHeight="1" x14ac:dyDescent="0.2">
      <c r="B133" s="34" t="str">
        <f>$B$13</f>
        <v>Wasserkraft</v>
      </c>
      <c r="C133" s="106">
        <v>5.4269999999999996</v>
      </c>
      <c r="D133" s="107">
        <f>SUM(C133:C138)</f>
        <v>55.085999999999999</v>
      </c>
      <c r="E133" s="108">
        <f>C133/C$140</f>
        <v>3.2567601627479931E-2</v>
      </c>
      <c r="F133" s="109">
        <f>SUM(E133:E138)</f>
        <v>0.33057285853166746</v>
      </c>
      <c r="G133" s="110">
        <v>21</v>
      </c>
      <c r="H133" s="111">
        <f>SUM(G133:G138)</f>
        <v>100.5</v>
      </c>
      <c r="I133" s="108">
        <f>G133/G$140</f>
        <v>3.2817627754336616E-2</v>
      </c>
      <c r="J133" s="109">
        <f>SUM(I133:I138)</f>
        <v>0.15705578996718236</v>
      </c>
      <c r="K133" s="112">
        <f>G133/C133*1000</f>
        <v>3869.5411829740187</v>
      </c>
      <c r="L133" s="113">
        <f>H133/D133*1000</f>
        <v>1824.4199978215881</v>
      </c>
    </row>
    <row r="134" spans="2:12" ht="14.25" customHeight="1" x14ac:dyDescent="0.2">
      <c r="B134" s="35" t="s">
        <v>23</v>
      </c>
      <c r="C134" s="128">
        <v>27.042999999999999</v>
      </c>
      <c r="D134" s="115"/>
      <c r="E134" s="120">
        <f>C134/C$140</f>
        <v>0.16228591317706648</v>
      </c>
      <c r="F134" s="117"/>
      <c r="G134" s="52">
        <v>38.9</v>
      </c>
      <c r="H134" s="119"/>
      <c r="I134" s="120">
        <f>G134/G$140</f>
        <v>6.0790748554461635E-2</v>
      </c>
      <c r="J134" s="117"/>
      <c r="K134" s="125">
        <f>G134/C134*1000</f>
        <v>1438.4498761232112</v>
      </c>
      <c r="L134" s="122"/>
    </row>
    <row r="135" spans="2:12" ht="14.25" customHeight="1" x14ac:dyDescent="0.2">
      <c r="B135" s="35" t="s">
        <v>24</v>
      </c>
      <c r="C135" s="128">
        <v>0.161</v>
      </c>
      <c r="D135" s="115"/>
      <c r="E135" s="120">
        <f>C135/C$140</f>
        <v>9.6616618058306041E-4</v>
      </c>
      <c r="F135" s="117"/>
      <c r="G135" s="52"/>
      <c r="H135" s="119"/>
      <c r="I135" s="120">
        <f>G135/G$140</f>
        <v>0</v>
      </c>
      <c r="J135" s="117"/>
      <c r="K135" s="125">
        <f>G135/C135*1000</f>
        <v>0</v>
      </c>
      <c r="L135" s="122"/>
    </row>
    <row r="136" spans="2:12" ht="14.25" customHeight="1" x14ac:dyDescent="0.2">
      <c r="B136" s="35" t="str">
        <f>$B$15</f>
        <v>Biomasse</v>
      </c>
      <c r="C136" s="128">
        <v>4.9569999999999999</v>
      </c>
      <c r="D136" s="115"/>
      <c r="E136" s="120">
        <f>C136/C$140</f>
        <v>2.9747116504038697E-2</v>
      </c>
      <c r="F136" s="117"/>
      <c r="G136" s="52">
        <v>28.9</v>
      </c>
      <c r="H136" s="119"/>
      <c r="I136" s="120">
        <f>G136/G$140</f>
        <v>4.5163306766682294E-2</v>
      </c>
      <c r="J136" s="117"/>
      <c r="K136" s="125">
        <f>G136/C136*1000</f>
        <v>5830.1391970950172</v>
      </c>
      <c r="L136" s="122"/>
    </row>
    <row r="137" spans="2:12" ht="14.25" customHeight="1" x14ac:dyDescent="0.2">
      <c r="B137" s="35" t="str">
        <f>$B$16</f>
        <v>Fotovoltaik</v>
      </c>
      <c r="C137" s="128">
        <v>17.488</v>
      </c>
      <c r="D137" s="115"/>
      <c r="E137" s="120">
        <f>C137/C$140</f>
        <v>0.10494605072072398</v>
      </c>
      <c r="F137" s="117"/>
      <c r="G137" s="52">
        <v>11.7</v>
      </c>
      <c r="H137" s="119"/>
      <c r="I137" s="120">
        <f>G137/G$140</f>
        <v>1.8284106891701828E-2</v>
      </c>
      <c r="J137" s="117"/>
      <c r="K137" s="125">
        <f>G137/C137*1000</f>
        <v>669.03019213174741</v>
      </c>
      <c r="L137" s="129"/>
    </row>
    <row r="138" spans="2:12" ht="14.25" customHeight="1" thickBot="1" x14ac:dyDescent="0.25">
      <c r="B138" s="36" t="str">
        <f>$B$18</f>
        <v>Geothermie</v>
      </c>
      <c r="C138" s="130">
        <v>0.01</v>
      </c>
      <c r="D138" s="131"/>
      <c r="E138" s="132">
        <f>C138/C$140</f>
        <v>6.0010321775345372E-5</v>
      </c>
      <c r="F138" s="133"/>
      <c r="G138" s="134">
        <v>0</v>
      </c>
      <c r="H138" s="135"/>
      <c r="I138" s="137" t="s">
        <v>0</v>
      </c>
      <c r="J138" s="133"/>
      <c r="K138" s="50" t="s">
        <v>0</v>
      </c>
      <c r="L138" s="138" t="s">
        <v>0</v>
      </c>
    </row>
    <row r="139" spans="2:12" ht="14.25" customHeight="1" thickBot="1" x14ac:dyDescent="0.25">
      <c r="B139" s="37" t="str">
        <f>$B$19</f>
        <v>Netzverluste</v>
      </c>
      <c r="C139" s="139" t="s">
        <v>0</v>
      </c>
      <c r="D139" s="140" t="s">
        <v>0</v>
      </c>
      <c r="E139" s="141" t="s">
        <v>0</v>
      </c>
      <c r="F139" s="142" t="s">
        <v>0</v>
      </c>
      <c r="G139" s="143"/>
      <c r="H139" s="144"/>
      <c r="I139" s="145">
        <f>G139/G140</f>
        <v>0</v>
      </c>
      <c r="J139" s="146"/>
      <c r="K139" s="147" t="s">
        <v>0</v>
      </c>
      <c r="L139" s="148"/>
    </row>
    <row r="140" spans="2:12" ht="14.25" customHeight="1" thickTop="1" thickBot="1" x14ac:dyDescent="0.25">
      <c r="B140" s="38" t="str">
        <f>$B$20</f>
        <v>Gesamt</v>
      </c>
      <c r="C140" s="39">
        <f>SUM(C125:C138)</f>
        <v>166.63799999999998</v>
      </c>
      <c r="D140" s="40"/>
      <c r="E140" s="41">
        <f>SUM(E125:E131,E133:E138)</f>
        <v>1.0000000000000002</v>
      </c>
      <c r="F140" s="42"/>
      <c r="G140" s="43">
        <f>SUM(G125:G131,G133:G138)</f>
        <v>639.9</v>
      </c>
      <c r="H140" s="44"/>
      <c r="I140" s="41">
        <f>J125+I131+J133</f>
        <v>0.99999999999999989</v>
      </c>
      <c r="J140" s="42"/>
      <c r="K140" s="45">
        <f>G140/C140*1000</f>
        <v>3840.0604904043498</v>
      </c>
      <c r="L140" s="46"/>
    </row>
    <row r="141" spans="2:12" ht="14.25" thickTop="1" thickBot="1" x14ac:dyDescent="0.25"/>
    <row r="142" spans="2:12" ht="19.5" customHeight="1" thickTop="1" thickBot="1" x14ac:dyDescent="0.25">
      <c r="B142" s="2" t="str">
        <f>$B$2</f>
        <v>Allgemeine Stromversorgung Deutschlands nach BDEW</v>
      </c>
      <c r="C142" s="3"/>
      <c r="D142" s="3"/>
      <c r="E142" s="4"/>
      <c r="F142" s="4"/>
      <c r="G142" s="3"/>
      <c r="H142" s="3"/>
      <c r="I142" s="4"/>
      <c r="J142" s="4"/>
      <c r="K142" s="5"/>
      <c r="L142" s="6"/>
    </row>
    <row r="143" spans="2:12" ht="14.25" customHeight="1" thickTop="1" x14ac:dyDescent="0.2">
      <c r="B143" s="55">
        <v>2011</v>
      </c>
      <c r="C143" s="7" t="str">
        <f>$C$3</f>
        <v>Netto-Engpassleistung</v>
      </c>
      <c r="D143" s="8"/>
      <c r="E143" s="9"/>
      <c r="F143" s="10"/>
      <c r="G143" s="11" t="str">
        <f>$G$3</f>
        <v>Netto-Erzeugung</v>
      </c>
      <c r="H143" s="8"/>
      <c r="I143" s="9"/>
      <c r="J143" s="10"/>
      <c r="K143" s="12" t="str">
        <f>$K$3</f>
        <v>Auslastung</v>
      </c>
      <c r="L143" s="13"/>
    </row>
    <row r="144" spans="2:12" ht="14.25" customHeight="1" thickBot="1" x14ac:dyDescent="0.25">
      <c r="B144" s="56"/>
      <c r="C144" s="14" t="str">
        <f>$C$4</f>
        <v>absolut</v>
      </c>
      <c r="D144" s="15"/>
      <c r="E144" s="16" t="str">
        <f>$E$4</f>
        <v>anteilig</v>
      </c>
      <c r="F144" s="17"/>
      <c r="G144" s="18" t="str">
        <f>$G$4</f>
        <v>absolut</v>
      </c>
      <c r="H144" s="15"/>
      <c r="I144" s="19" t="str">
        <f>$I$4</f>
        <v>anteilig</v>
      </c>
      <c r="J144" s="20"/>
      <c r="K144" s="21" t="str">
        <f>$K$4</f>
        <v>einzeln</v>
      </c>
      <c r="L144" s="22" t="str">
        <f>$L$4</f>
        <v>gesamt</v>
      </c>
    </row>
    <row r="145" spans="2:12" ht="14.25" customHeight="1" thickTop="1" x14ac:dyDescent="0.2">
      <c r="B145" s="62" t="str">
        <f>$B$5</f>
        <v>Kernenergie</v>
      </c>
      <c r="C145" s="23">
        <v>12.068</v>
      </c>
      <c r="D145" s="63">
        <f>SUM(C145:C150)</f>
        <v>93.244</v>
      </c>
      <c r="E145" s="64">
        <f>C145/C$160</f>
        <v>7.3070751718083013E-2</v>
      </c>
      <c r="F145" s="65">
        <f>SUM(E145:E150)</f>
        <v>0.56458478399079648</v>
      </c>
      <c r="G145" s="24">
        <v>108</v>
      </c>
      <c r="H145" s="66">
        <f>SUM(G145:G150)</f>
        <v>488.3</v>
      </c>
      <c r="I145" s="64">
        <f>G145/G$160</f>
        <v>0.17618270799347471</v>
      </c>
      <c r="J145" s="65">
        <f>SUM(I145:I150)</f>
        <v>0.7965742251223491</v>
      </c>
      <c r="K145" s="25">
        <f>G145/C145*1000</f>
        <v>8949.2873715611531</v>
      </c>
      <c r="L145" s="67">
        <f>H145/D145*1000</f>
        <v>5236.7980781605256</v>
      </c>
    </row>
    <row r="146" spans="2:12" ht="14.25" customHeight="1" x14ac:dyDescent="0.2">
      <c r="B146" s="51" t="str">
        <f>$B$6</f>
        <v>Braunkohle</v>
      </c>
      <c r="C146" s="26">
        <v>20.068999999999999</v>
      </c>
      <c r="D146" s="68"/>
      <c r="E146" s="69">
        <f>C146/C$160</f>
        <v>0.12151615149405104</v>
      </c>
      <c r="F146" s="70"/>
      <c r="G146" s="27">
        <v>150.1</v>
      </c>
      <c r="H146" s="71"/>
      <c r="I146" s="69">
        <f>G146/G$160</f>
        <v>0.24486133768352364</v>
      </c>
      <c r="J146" s="70"/>
      <c r="K146" s="28">
        <f>G146/C146*1000</f>
        <v>7479.1967711395682</v>
      </c>
      <c r="L146" s="72"/>
    </row>
    <row r="147" spans="2:12" ht="14.25" customHeight="1" x14ac:dyDescent="0.2">
      <c r="B147" s="51" t="str">
        <f>$B$7</f>
        <v>Steinkohle</v>
      </c>
      <c r="C147" s="26">
        <v>27.210999999999999</v>
      </c>
      <c r="D147" s="68"/>
      <c r="E147" s="69">
        <f>C147/C$160</f>
        <v>0.16476037661590626</v>
      </c>
      <c r="F147" s="70"/>
      <c r="G147" s="27">
        <v>112.4</v>
      </c>
      <c r="H147" s="71"/>
      <c r="I147" s="69">
        <f>G147/G$160</f>
        <v>0.18336052202283851</v>
      </c>
      <c r="J147" s="70"/>
      <c r="K147" s="28">
        <f>G147/C147*1000</f>
        <v>4130.6824445996108</v>
      </c>
      <c r="L147" s="72"/>
    </row>
    <row r="148" spans="2:12" ht="14.25" customHeight="1" x14ac:dyDescent="0.2">
      <c r="B148" s="51" t="str">
        <f>$B$8</f>
        <v>Erdgas</v>
      </c>
      <c r="C148" s="26">
        <v>26.763999999999999</v>
      </c>
      <c r="D148" s="68"/>
      <c r="E148" s="69">
        <f>C148/C$160</f>
        <v>0.16205382822197328</v>
      </c>
      <c r="F148" s="70"/>
      <c r="G148" s="27">
        <v>86.1</v>
      </c>
      <c r="H148" s="71"/>
      <c r="I148" s="69">
        <f>G148/G$160</f>
        <v>0.14045676998368678</v>
      </c>
      <c r="J148" s="70"/>
      <c r="K148" s="28">
        <f>G148/C148*1000</f>
        <v>3217.0079210880285</v>
      </c>
      <c r="L148" s="72"/>
    </row>
    <row r="149" spans="2:12" ht="14.25" customHeight="1" x14ac:dyDescent="0.2">
      <c r="B149" s="51" t="str">
        <f>$B$9</f>
        <v>Mineralöl</v>
      </c>
      <c r="C149" s="26">
        <v>5.6459999999999999</v>
      </c>
      <c r="D149" s="68"/>
      <c r="E149" s="69">
        <f>C149/C$160</f>
        <v>3.4186067633435256E-2</v>
      </c>
      <c r="F149" s="70"/>
      <c r="G149" s="27">
        <v>7.2</v>
      </c>
      <c r="H149" s="71"/>
      <c r="I149" s="69">
        <f>G149/G$160</f>
        <v>1.1745513866231648E-2</v>
      </c>
      <c r="J149" s="70"/>
      <c r="K149" s="28">
        <f>G149/C149*1000</f>
        <v>1275.2391073326251</v>
      </c>
      <c r="L149" s="72"/>
    </row>
    <row r="150" spans="2:12" ht="14.25" customHeight="1" x14ac:dyDescent="0.2">
      <c r="B150" s="74" t="str">
        <f>$B$130</f>
        <v>Müll &amp; sonstige</v>
      </c>
      <c r="C150" s="29">
        <v>1.486</v>
      </c>
      <c r="D150" s="75"/>
      <c r="E150" s="76">
        <f>C150/C$160</f>
        <v>8.9976083073476428E-3</v>
      </c>
      <c r="F150" s="77"/>
      <c r="G150" s="30">
        <f>19.7+4.8</f>
        <v>24.5</v>
      </c>
      <c r="H150" s="78"/>
      <c r="I150" s="76">
        <f>G150/G$160</f>
        <v>3.9967373572593799E-2</v>
      </c>
      <c r="J150" s="77"/>
      <c r="K150" s="31">
        <f>G150/C150*1000</f>
        <v>16487.213997308208</v>
      </c>
      <c r="L150" s="80"/>
    </row>
    <row r="151" spans="2:12" ht="14.25" customHeight="1" x14ac:dyDescent="0.2">
      <c r="B151" s="32" t="str">
        <f>$B$11</f>
        <v>Pumpspeicher</v>
      </c>
      <c r="C151" s="81">
        <v>5.71</v>
      </c>
      <c r="D151" s="82"/>
      <c r="E151" s="83">
        <f>C151/C$160</f>
        <v>3.4573582392298144E-2</v>
      </c>
      <c r="F151" s="84"/>
      <c r="G151" s="85">
        <v>5.8</v>
      </c>
      <c r="H151" s="82"/>
      <c r="I151" s="86">
        <f>G151/G$160</f>
        <v>9.4616639477977157E-3</v>
      </c>
      <c r="J151" s="87"/>
      <c r="K151" s="88">
        <f>G151/C151*1000</f>
        <v>1015.7618213660245</v>
      </c>
      <c r="L151" s="89"/>
    </row>
    <row r="152" spans="2:12" ht="14.25" customHeight="1" x14ac:dyDescent="0.2">
      <c r="B152" s="33" t="str">
        <f>$B$12</f>
        <v>Pumparbeit</v>
      </c>
      <c r="C152" s="93"/>
      <c r="D152" s="49" t="s">
        <v>27</v>
      </c>
      <c r="E152" s="94" t="e">
        <f>G151/G152</f>
        <v>#DIV/0!</v>
      </c>
      <c r="F152" s="95"/>
      <c r="G152" s="96"/>
      <c r="H152" s="97"/>
      <c r="I152" s="98">
        <f>G152/G$160</f>
        <v>0</v>
      </c>
      <c r="J152" s="99"/>
      <c r="K152" s="100" t="s">
        <v>0</v>
      </c>
      <c r="L152" s="101"/>
    </row>
    <row r="153" spans="2:12" ht="14.25" customHeight="1" x14ac:dyDescent="0.2">
      <c r="B153" s="34" t="str">
        <f>$B$13</f>
        <v>Wasserkraft</v>
      </c>
      <c r="C153" s="106">
        <v>5.625</v>
      </c>
      <c r="D153" s="107">
        <f>SUM(C153:C158)</f>
        <v>66.200999999999993</v>
      </c>
      <c r="E153" s="108">
        <f>C153/C$160</f>
        <v>3.4058914353183374E-2</v>
      </c>
      <c r="F153" s="109">
        <f>SUM(E153:E158)</f>
        <v>0.40083150306212212</v>
      </c>
      <c r="G153" s="110">
        <v>17.7</v>
      </c>
      <c r="H153" s="111">
        <f>SUM(G153:G158)</f>
        <v>118.9</v>
      </c>
      <c r="I153" s="108">
        <f>G153/G$160</f>
        <v>2.8874388254486131E-2</v>
      </c>
      <c r="J153" s="109">
        <f>SUM(I153:I158)</f>
        <v>0.19396411092985316</v>
      </c>
      <c r="K153" s="112">
        <f>G153/C153*1000</f>
        <v>3146.6666666666665</v>
      </c>
      <c r="L153" s="113">
        <f>H153/D153*1000</f>
        <v>1796.0453769580522</v>
      </c>
    </row>
    <row r="154" spans="2:12" ht="14.25" customHeight="1" x14ac:dyDescent="0.2">
      <c r="B154" s="35" t="str">
        <f>$B$134</f>
        <v>Wind an Land</v>
      </c>
      <c r="C154" s="128">
        <v>28.524000000000001</v>
      </c>
      <c r="D154" s="115"/>
      <c r="E154" s="120">
        <f>C154/C$160</f>
        <v>0.17271048409070267</v>
      </c>
      <c r="F154" s="117"/>
      <c r="G154" s="52">
        <v>49.7</v>
      </c>
      <c r="H154" s="119"/>
      <c r="I154" s="120">
        <f>G154/G$160</f>
        <v>8.1076672104404571E-2</v>
      </c>
      <c r="J154" s="117"/>
      <c r="K154" s="125">
        <f>G154/C154*1000</f>
        <v>1742.3923713364184</v>
      </c>
      <c r="L154" s="122"/>
    </row>
    <row r="155" spans="2:12" ht="14.25" customHeight="1" x14ac:dyDescent="0.2">
      <c r="B155" s="35" t="str">
        <f>$B$135</f>
        <v>Wind auf See</v>
      </c>
      <c r="C155" s="128">
        <v>0.188</v>
      </c>
      <c r="D155" s="115"/>
      <c r="E155" s="120">
        <f>C155/C$140</f>
        <v>1.1281940493764928E-3</v>
      </c>
      <c r="F155" s="117"/>
      <c r="G155" s="52"/>
      <c r="H155" s="119"/>
      <c r="I155" s="120">
        <f>G155/G$140</f>
        <v>0</v>
      </c>
      <c r="J155" s="117"/>
      <c r="K155" s="125">
        <f>G155/C155*1000</f>
        <v>0</v>
      </c>
      <c r="L155" s="122"/>
    </row>
    <row r="156" spans="2:12" ht="14.25" customHeight="1" x14ac:dyDescent="0.2">
      <c r="B156" s="35" t="str">
        <f>$B$15</f>
        <v>Biomasse</v>
      </c>
      <c r="C156" s="128">
        <v>6.4240000000000004</v>
      </c>
      <c r="D156" s="115"/>
      <c r="E156" s="120">
        <f>C156/C$160</f>
        <v>3.8896793920862226E-2</v>
      </c>
      <c r="F156" s="117"/>
      <c r="G156" s="52">
        <v>31.9</v>
      </c>
      <c r="H156" s="119"/>
      <c r="I156" s="120">
        <f>G156/G$160</f>
        <v>5.2039151712887435E-2</v>
      </c>
      <c r="J156" s="117"/>
      <c r="K156" s="125">
        <f>G156/C156*1000</f>
        <v>4965.7534246575333</v>
      </c>
      <c r="L156" s="122"/>
    </row>
    <row r="157" spans="2:12" ht="14.25" customHeight="1" x14ac:dyDescent="0.2">
      <c r="B157" s="35" t="str">
        <f>$B$16</f>
        <v>Fotovoltaik</v>
      </c>
      <c r="C157" s="128">
        <v>25.428999999999998</v>
      </c>
      <c r="D157" s="115"/>
      <c r="E157" s="120">
        <f>C157/C$160</f>
        <v>0.15397051254881777</v>
      </c>
      <c r="F157" s="117"/>
      <c r="G157" s="52">
        <v>19.600000000000001</v>
      </c>
      <c r="H157" s="119"/>
      <c r="I157" s="120">
        <f>G157/G$160</f>
        <v>3.1973898858075042E-2</v>
      </c>
      <c r="J157" s="117"/>
      <c r="K157" s="125">
        <f>G157/C157*1000</f>
        <v>770.77352628888286</v>
      </c>
      <c r="L157" s="129"/>
    </row>
    <row r="158" spans="2:12" ht="14.25" customHeight="1" thickBot="1" x14ac:dyDescent="0.25">
      <c r="B158" s="36" t="str">
        <f>$B$18</f>
        <v>Geothermie</v>
      </c>
      <c r="C158" s="130">
        <v>1.0999999999999999E-2</v>
      </c>
      <c r="D158" s="131"/>
      <c r="E158" s="132">
        <f>C158/C$160</f>
        <v>6.6604099179558597E-5</v>
      </c>
      <c r="F158" s="133"/>
      <c r="G158" s="134">
        <v>0</v>
      </c>
      <c r="H158" s="135"/>
      <c r="I158" s="137" t="s">
        <v>0</v>
      </c>
      <c r="J158" s="133"/>
      <c r="K158" s="50" t="s">
        <v>0</v>
      </c>
      <c r="L158" s="138" t="s">
        <v>0</v>
      </c>
    </row>
    <row r="159" spans="2:12" ht="14.25" customHeight="1" thickBot="1" x14ac:dyDescent="0.25">
      <c r="B159" s="37" t="str">
        <f>$B$19</f>
        <v>Netzverluste</v>
      </c>
      <c r="C159" s="139" t="s">
        <v>0</v>
      </c>
      <c r="D159" s="140" t="s">
        <v>0</v>
      </c>
      <c r="E159" s="141" t="s">
        <v>0</v>
      </c>
      <c r="F159" s="142" t="s">
        <v>0</v>
      </c>
      <c r="G159" s="143"/>
      <c r="H159" s="144"/>
      <c r="I159" s="145">
        <f>G159/G160</f>
        <v>0</v>
      </c>
      <c r="J159" s="146"/>
      <c r="K159" s="147" t="s">
        <v>0</v>
      </c>
      <c r="L159" s="148"/>
    </row>
    <row r="160" spans="2:12" ht="14.25" customHeight="1" thickTop="1" thickBot="1" x14ac:dyDescent="0.25">
      <c r="B160" s="38" t="str">
        <f>$B$20</f>
        <v>Gesamt</v>
      </c>
      <c r="C160" s="39">
        <f>SUM(C145:C158)</f>
        <v>165.155</v>
      </c>
      <c r="D160" s="40"/>
      <c r="E160" s="41">
        <f>SUM(E145:E151,E153:E158)</f>
        <v>0.99998986944521673</v>
      </c>
      <c r="F160" s="42"/>
      <c r="G160" s="43">
        <f>SUM(G145:G151,G153:G158)</f>
        <v>613</v>
      </c>
      <c r="H160" s="44"/>
      <c r="I160" s="41">
        <f>J145+I151+J153</f>
        <v>1</v>
      </c>
      <c r="J160" s="42"/>
      <c r="K160" s="45">
        <f>G160/C160*1000</f>
        <v>3711.6647997335835</v>
      </c>
      <c r="L160" s="46"/>
    </row>
    <row r="161" spans="2:12" ht="14.25" thickTop="1" thickBot="1" x14ac:dyDescent="0.25"/>
    <row r="162" spans="2:12" ht="19.5" customHeight="1" thickTop="1" thickBot="1" x14ac:dyDescent="0.25">
      <c r="B162" s="2" t="str">
        <f>$B$2</f>
        <v>Allgemeine Stromversorgung Deutschlands nach BDEW</v>
      </c>
      <c r="C162" s="3"/>
      <c r="D162" s="3"/>
      <c r="E162" s="4"/>
      <c r="F162" s="4"/>
      <c r="G162" s="3"/>
      <c r="H162" s="3"/>
      <c r="I162" s="4"/>
      <c r="J162" s="4"/>
      <c r="K162" s="5"/>
      <c r="L162" s="6"/>
    </row>
    <row r="163" spans="2:12" ht="14.25" customHeight="1" thickTop="1" x14ac:dyDescent="0.2">
      <c r="B163" s="55">
        <v>2012</v>
      </c>
      <c r="C163" s="7" t="str">
        <f>$C$3</f>
        <v>Netto-Engpassleistung</v>
      </c>
      <c r="D163" s="8"/>
      <c r="E163" s="9"/>
      <c r="F163" s="10"/>
      <c r="G163" s="11" t="str">
        <f>$G$3</f>
        <v>Netto-Erzeugung</v>
      </c>
      <c r="H163" s="8"/>
      <c r="I163" s="9"/>
      <c r="J163" s="10"/>
      <c r="K163" s="12" t="str">
        <f>$K$3</f>
        <v>Auslastung</v>
      </c>
      <c r="L163" s="13"/>
    </row>
    <row r="164" spans="2:12" ht="14.25" customHeight="1" thickBot="1" x14ac:dyDescent="0.25">
      <c r="B164" s="56"/>
      <c r="C164" s="14" t="str">
        <f>$C$4</f>
        <v>absolut</v>
      </c>
      <c r="D164" s="15"/>
      <c r="E164" s="16" t="str">
        <f>$E$4</f>
        <v>anteilig</v>
      </c>
      <c r="F164" s="17"/>
      <c r="G164" s="18" t="str">
        <f>$G$4</f>
        <v>absolut</v>
      </c>
      <c r="H164" s="15"/>
      <c r="I164" s="19" t="str">
        <f>$I$4</f>
        <v>anteilig</v>
      </c>
      <c r="J164" s="20"/>
      <c r="K164" s="21" t="str">
        <f>$K$4</f>
        <v>einzeln</v>
      </c>
      <c r="L164" s="22" t="str">
        <f>$L$4</f>
        <v>gesamt</v>
      </c>
    </row>
    <row r="165" spans="2:12" ht="14.25" customHeight="1" thickTop="1" x14ac:dyDescent="0.2">
      <c r="B165" s="62" t="str">
        <f>$B$5</f>
        <v>Kernenergie</v>
      </c>
      <c r="C165" s="23">
        <v>12.068</v>
      </c>
      <c r="D165" s="63">
        <f>SUM(C165:C170)</f>
        <v>88.286999999999992</v>
      </c>
      <c r="E165" s="64">
        <f>C165/C$180</f>
        <v>7.1266173370261671E-2</v>
      </c>
      <c r="F165" s="65">
        <f>SUM(E165:E170)</f>
        <v>0.52136863178159532</v>
      </c>
      <c r="G165" s="24">
        <v>94.18</v>
      </c>
      <c r="H165" s="66">
        <f>SUM(G165:G170)</f>
        <v>410.6</v>
      </c>
      <c r="I165" s="64">
        <f>G165/G$180</f>
        <v>0.17048282952984178</v>
      </c>
      <c r="J165" s="65">
        <f>SUM(I165:I170)</f>
        <v>0.74326024426579984</v>
      </c>
      <c r="K165" s="25">
        <f>G165/C165*1000</f>
        <v>7804.110043089162</v>
      </c>
      <c r="L165" s="67">
        <f>H165/D165*1000</f>
        <v>4650.7413322459715</v>
      </c>
    </row>
    <row r="166" spans="2:12" ht="14.25" customHeight="1" x14ac:dyDescent="0.2">
      <c r="B166" s="51" t="str">
        <f>$B$6</f>
        <v>Braunkohle</v>
      </c>
      <c r="C166" s="26">
        <v>20.623000000000001</v>
      </c>
      <c r="D166" s="68"/>
      <c r="E166" s="69">
        <f>C166/C$180</f>
        <v>0.1217867329644437</v>
      </c>
      <c r="F166" s="70"/>
      <c r="G166" s="27">
        <v>144.65700000000001</v>
      </c>
      <c r="H166" s="71"/>
      <c r="I166" s="69">
        <f>G166/G$180</f>
        <v>0.26185532672858697</v>
      </c>
      <c r="J166" s="70"/>
      <c r="K166" s="28">
        <f>G166/C166*1000</f>
        <v>7014.3529069485521</v>
      </c>
      <c r="L166" s="72"/>
    </row>
    <row r="167" spans="2:12" ht="14.25" customHeight="1" x14ac:dyDescent="0.2">
      <c r="B167" s="51" t="str">
        <f>$B$7</f>
        <v>Steinkohle</v>
      </c>
      <c r="C167" s="26">
        <v>25.16</v>
      </c>
      <c r="D167" s="68"/>
      <c r="E167" s="69">
        <f>C167/C$180</f>
        <v>0.14857945989358498</v>
      </c>
      <c r="F167" s="70"/>
      <c r="G167" s="27">
        <v>105.83</v>
      </c>
      <c r="H167" s="71"/>
      <c r="I167" s="69">
        <f>G167/G$180</f>
        <v>0.19157143607074914</v>
      </c>
      <c r="J167" s="70"/>
      <c r="K167" s="28">
        <f>G167/C167*1000</f>
        <v>4206.279809220986</v>
      </c>
      <c r="L167" s="72"/>
    </row>
    <row r="168" spans="2:12" ht="14.25" customHeight="1" x14ac:dyDescent="0.2">
      <c r="B168" s="51" t="str">
        <f>$B$8</f>
        <v>Erdgas</v>
      </c>
      <c r="C168" s="26">
        <v>22.381</v>
      </c>
      <c r="D168" s="68"/>
      <c r="E168" s="69">
        <f>C168/C$180</f>
        <v>0.13216839792839133</v>
      </c>
      <c r="F168" s="70"/>
      <c r="G168" s="27">
        <v>54.091000000000001</v>
      </c>
      <c r="H168" s="71"/>
      <c r="I168" s="69">
        <f>G168/G$180</f>
        <v>9.7914490678473881E-2</v>
      </c>
      <c r="J168" s="70"/>
      <c r="K168" s="28">
        <f>G168/C168*1000</f>
        <v>2416.8267727089942</v>
      </c>
      <c r="L168" s="72"/>
    </row>
    <row r="169" spans="2:12" ht="14.25" customHeight="1" x14ac:dyDescent="0.2">
      <c r="B169" s="51" t="str">
        <f>$B$9</f>
        <v>Mineralöl</v>
      </c>
      <c r="C169" s="26">
        <v>4.8</v>
      </c>
      <c r="D169" s="68"/>
      <c r="E169" s="69">
        <f>C169/C$180</f>
        <v>2.8345842904976468E-2</v>
      </c>
      <c r="F169" s="70"/>
      <c r="G169" s="27">
        <v>2.7160000000000002</v>
      </c>
      <c r="H169" s="71"/>
      <c r="I169" s="69">
        <f>G169/G$180</f>
        <v>4.9164511043008098E-3</v>
      </c>
      <c r="J169" s="70"/>
      <c r="K169" s="28">
        <f>G169/C169*1000</f>
        <v>565.83333333333337</v>
      </c>
      <c r="L169" s="72"/>
    </row>
    <row r="170" spans="2:12" ht="14.25" customHeight="1" x14ac:dyDescent="0.2">
      <c r="B170" s="74" t="str">
        <f>$B$10</f>
        <v>sonstige</v>
      </c>
      <c r="C170" s="29">
        <v>3.2549999999999999</v>
      </c>
      <c r="D170" s="75"/>
      <c r="E170" s="76">
        <f>C170/C$180</f>
        <v>1.9222024719937166E-2</v>
      </c>
      <c r="F170" s="77"/>
      <c r="G170" s="30">
        <v>9.1259999999999994</v>
      </c>
      <c r="H170" s="78"/>
      <c r="I170" s="76">
        <f>G170/G$180</f>
        <v>1.6519710153847268E-2</v>
      </c>
      <c r="J170" s="77"/>
      <c r="K170" s="31">
        <f>G170/C170*1000</f>
        <v>2803.6866359447004</v>
      </c>
      <c r="L170" s="80"/>
    </row>
    <row r="171" spans="2:12" ht="14.25" customHeight="1" x14ac:dyDescent="0.2">
      <c r="B171" s="32" t="str">
        <f>$B$11</f>
        <v>Pumpspeicher</v>
      </c>
      <c r="C171" s="81">
        <v>5.71</v>
      </c>
      <c r="D171" s="82"/>
      <c r="E171" s="83">
        <f>C171/C$180</f>
        <v>3.3719742289044924E-2</v>
      </c>
      <c r="F171" s="84"/>
      <c r="G171" s="85">
        <v>5.9409999999999998</v>
      </c>
      <c r="H171" s="82"/>
      <c r="I171" s="86">
        <f>G171/G$180</f>
        <v>1.0754284245453279E-2</v>
      </c>
      <c r="J171" s="87"/>
      <c r="K171" s="88">
        <f>G171/C171*1000</f>
        <v>1040.4553415061296</v>
      </c>
      <c r="L171" s="89"/>
    </row>
    <row r="172" spans="2:12" ht="14.25" customHeight="1" x14ac:dyDescent="0.2">
      <c r="B172" s="33" t="str">
        <f>$B$12</f>
        <v>Pumparbeit</v>
      </c>
      <c r="C172" s="93"/>
      <c r="D172" s="49" t="s">
        <v>27</v>
      </c>
      <c r="E172" s="94">
        <f>G171/G172</f>
        <v>0.7315601526905553</v>
      </c>
      <c r="F172" s="95"/>
      <c r="G172" s="96">
        <v>8.1210000000000004</v>
      </c>
      <c r="H172" s="97"/>
      <c r="I172" s="98">
        <f>G172/G$180</f>
        <v>1.4700478430790455E-2</v>
      </c>
      <c r="J172" s="99"/>
      <c r="K172" s="100" t="s">
        <v>0</v>
      </c>
      <c r="L172" s="101"/>
    </row>
    <row r="173" spans="2:12" ht="14.25" customHeight="1" x14ac:dyDescent="0.2">
      <c r="B173" s="34" t="str">
        <f>$B$13</f>
        <v>Wasserkraft</v>
      </c>
      <c r="C173" s="106">
        <v>5.57</v>
      </c>
      <c r="D173" s="107">
        <f>SUM(C173:C178)</f>
        <v>75.34</v>
      </c>
      <c r="E173" s="108">
        <f>C173/C$180</f>
        <v>3.2892988537649777E-2</v>
      </c>
      <c r="F173" s="109">
        <f>SUM(E173:E178)</f>
        <v>0.44491162592935979</v>
      </c>
      <c r="G173" s="110">
        <v>21.35</v>
      </c>
      <c r="H173" s="111">
        <f>SUM(G173:G178)</f>
        <v>135.88999999999999</v>
      </c>
      <c r="I173" s="108">
        <f>G173/G$180</f>
        <v>3.8647360484838841E-2</v>
      </c>
      <c r="J173" s="109">
        <f>SUM(I173:I178)</f>
        <v>0.24598547148874705</v>
      </c>
      <c r="K173" s="112">
        <f>G173/C173*1000</f>
        <v>3833.0341113105924</v>
      </c>
      <c r="L173" s="113">
        <f>H173/D173*1000</f>
        <v>1803.6899389434559</v>
      </c>
    </row>
    <row r="174" spans="2:12" ht="14.25" customHeight="1" x14ac:dyDescent="0.2">
      <c r="B174" s="35" t="str">
        <f>$B$14</f>
        <v>Wind</v>
      </c>
      <c r="C174" s="128">
        <v>31.263999999999999</v>
      </c>
      <c r="D174" s="115"/>
      <c r="E174" s="120">
        <f>C174/C$180</f>
        <v>0.18462592345441339</v>
      </c>
      <c r="F174" s="117"/>
      <c r="G174" s="52">
        <v>50.518000000000001</v>
      </c>
      <c r="H174" s="119"/>
      <c r="I174" s="120">
        <f>G174/G$180</f>
        <v>9.1446714612322635E-2</v>
      </c>
      <c r="J174" s="117"/>
      <c r="K174" s="125">
        <f>G174/C174*1000</f>
        <v>1615.8520982599796</v>
      </c>
      <c r="L174" s="122"/>
    </row>
    <row r="175" spans="2:12" ht="14.25" customHeight="1" x14ac:dyDescent="0.2">
      <c r="B175" s="35" t="str">
        <f>$B$15</f>
        <v>Biomasse</v>
      </c>
      <c r="C175" s="128">
        <v>5.4580000000000002</v>
      </c>
      <c r="D175" s="115"/>
      <c r="E175" s="120">
        <f>C175/C$180</f>
        <v>3.2231585536533658E-2</v>
      </c>
      <c r="F175" s="117"/>
      <c r="G175" s="52">
        <v>33.856999999999999</v>
      </c>
      <c r="H175" s="119"/>
      <c r="I175" s="120">
        <f>G175/G$180</f>
        <v>6.1287291987596651E-2</v>
      </c>
      <c r="J175" s="117"/>
      <c r="K175" s="125">
        <f>G175/C175*1000</f>
        <v>6203.1879809454013</v>
      </c>
      <c r="L175" s="122"/>
    </row>
    <row r="176" spans="2:12" ht="14.25" customHeight="1" x14ac:dyDescent="0.2">
      <c r="B176" s="35" t="str">
        <f>$B$16</f>
        <v>Fotovoltaik</v>
      </c>
      <c r="C176" s="128">
        <v>33.03</v>
      </c>
      <c r="D176" s="115"/>
      <c r="E176" s="120">
        <f>C176/C$180</f>
        <v>0.19505483148986932</v>
      </c>
      <c r="F176" s="117"/>
      <c r="G176" s="52">
        <v>26.38</v>
      </c>
      <c r="H176" s="119"/>
      <c r="I176" s="120">
        <f>G176/G$180</f>
        <v>4.7752570004217725E-2</v>
      </c>
      <c r="J176" s="117"/>
      <c r="K176" s="125">
        <f>G176/C176*1000</f>
        <v>798.66787768695121</v>
      </c>
      <c r="L176" s="129"/>
    </row>
    <row r="177" spans="2:12" ht="14.25" customHeight="1" x14ac:dyDescent="0.2">
      <c r="B177" s="35" t="str">
        <f>$B$17</f>
        <v>sonstige</v>
      </c>
      <c r="C177" s="156" t="s">
        <v>0</v>
      </c>
      <c r="D177" s="115"/>
      <c r="E177" s="155" t="s">
        <v>0</v>
      </c>
      <c r="F177" s="117"/>
      <c r="G177" s="52">
        <v>3.7850000000000001</v>
      </c>
      <c r="H177" s="119"/>
      <c r="I177" s="120">
        <f>G177/G$180</f>
        <v>6.8515343997711947E-3</v>
      </c>
      <c r="J177" s="117"/>
      <c r="K177" s="154" t="s">
        <v>0</v>
      </c>
      <c r="L177" s="153" t="s">
        <v>0</v>
      </c>
    </row>
    <row r="178" spans="2:12" ht="14.25" customHeight="1" thickBot="1" x14ac:dyDescent="0.25">
      <c r="B178" s="36" t="str">
        <f>$B$18</f>
        <v>Geothermie</v>
      </c>
      <c r="C178" s="130">
        <v>1.7999999999999999E-2</v>
      </c>
      <c r="D178" s="131"/>
      <c r="E178" s="132">
        <f>C178/C$180</f>
        <v>1.0629691089366175E-4</v>
      </c>
      <c r="F178" s="133"/>
      <c r="G178" s="152" t="s">
        <v>0</v>
      </c>
      <c r="H178" s="135"/>
      <c r="I178" s="137" t="s">
        <v>0</v>
      </c>
      <c r="J178" s="133"/>
      <c r="K178" s="50" t="s">
        <v>0</v>
      </c>
      <c r="L178" s="138" t="s">
        <v>0</v>
      </c>
    </row>
    <row r="179" spans="2:12" ht="14.25" customHeight="1" thickBot="1" x14ac:dyDescent="0.25">
      <c r="B179" s="37" t="str">
        <f>$B$19</f>
        <v>Netzverluste</v>
      </c>
      <c r="C179" s="139" t="s">
        <v>0</v>
      </c>
      <c r="D179" s="140" t="s">
        <v>0</v>
      </c>
      <c r="E179" s="141" t="s">
        <v>0</v>
      </c>
      <c r="F179" s="142" t="s">
        <v>0</v>
      </c>
      <c r="G179" s="143">
        <v>27.564</v>
      </c>
      <c r="H179" s="144"/>
      <c r="I179" s="145">
        <f>G179/G180</f>
        <v>4.9895824093868744E-2</v>
      </c>
      <c r="J179" s="146"/>
      <c r="K179" s="147" t="s">
        <v>0</v>
      </c>
      <c r="L179" s="148"/>
    </row>
    <row r="180" spans="2:12" ht="14.25" customHeight="1" thickTop="1" thickBot="1" x14ac:dyDescent="0.25">
      <c r="B180" s="38" t="str">
        <f>$B$20</f>
        <v>Gesamt</v>
      </c>
      <c r="C180" s="39">
        <f>SUM(C165:C178)</f>
        <v>169.33699999999999</v>
      </c>
      <c r="D180" s="40"/>
      <c r="E180" s="41">
        <f>SUM(E165:E171,E173:E178)</f>
        <v>1.0000000000000002</v>
      </c>
      <c r="F180" s="42"/>
      <c r="G180" s="43">
        <f>SUM(G165:G171,G173:G178)</f>
        <v>552.43099999999993</v>
      </c>
      <c r="H180" s="44"/>
      <c r="I180" s="41">
        <f>J165+I171+J173</f>
        <v>1.0000000000000002</v>
      </c>
      <c r="J180" s="42"/>
      <c r="K180" s="45">
        <f>G180/C180*1000</f>
        <v>3262.3171545498026</v>
      </c>
      <c r="L180" s="46"/>
    </row>
    <row r="181" spans="2:12" ht="14.25" thickTop="1" thickBot="1" x14ac:dyDescent="0.25"/>
    <row r="182" spans="2:12" ht="19.5" customHeight="1" thickTop="1" thickBot="1" x14ac:dyDescent="0.25">
      <c r="B182" s="2" t="str">
        <f>$B$2</f>
        <v>Allgemeine Stromversorgung Deutschlands nach BDEW</v>
      </c>
      <c r="C182" s="3"/>
      <c r="D182" s="3"/>
      <c r="E182" s="4"/>
      <c r="F182" s="4"/>
      <c r="G182" s="3"/>
      <c r="H182" s="3"/>
      <c r="I182" s="4"/>
      <c r="J182" s="4"/>
      <c r="K182" s="5"/>
      <c r="L182" s="6"/>
    </row>
    <row r="183" spans="2:12" ht="14.25" customHeight="1" thickTop="1" x14ac:dyDescent="0.2">
      <c r="B183" s="55">
        <v>2013</v>
      </c>
      <c r="C183" s="7" t="str">
        <f>$C$3</f>
        <v>Netto-Engpassleistung</v>
      </c>
      <c r="D183" s="8"/>
      <c r="E183" s="9"/>
      <c r="F183" s="10"/>
      <c r="G183" s="11" t="str">
        <f>$G$3</f>
        <v>Netto-Erzeugung</v>
      </c>
      <c r="H183" s="8"/>
      <c r="I183" s="9"/>
      <c r="J183" s="10"/>
      <c r="K183" s="12" t="str">
        <f>$K$3</f>
        <v>Auslastung</v>
      </c>
      <c r="L183" s="13"/>
    </row>
    <row r="184" spans="2:12" ht="14.25" customHeight="1" thickBot="1" x14ac:dyDescent="0.25">
      <c r="B184" s="56"/>
      <c r="C184" s="14" t="str">
        <f>$C$4</f>
        <v>absolut</v>
      </c>
      <c r="D184" s="15"/>
      <c r="E184" s="16" t="str">
        <f>$E$4</f>
        <v>anteilig</v>
      </c>
      <c r="F184" s="17"/>
      <c r="G184" s="18" t="str">
        <f>$G$4</f>
        <v>absolut</v>
      </c>
      <c r="H184" s="15"/>
      <c r="I184" s="19" t="str">
        <f>$I$4</f>
        <v>anteilig</v>
      </c>
      <c r="J184" s="20"/>
      <c r="K184" s="21" t="str">
        <f>$K$4</f>
        <v>einzeln</v>
      </c>
      <c r="L184" s="22" t="str">
        <f>$L$4</f>
        <v>gesamt</v>
      </c>
    </row>
    <row r="185" spans="2:12" ht="14.25" customHeight="1" thickTop="1" x14ac:dyDescent="0.2">
      <c r="B185" s="62" t="str">
        <f>$B$5</f>
        <v>Kernenergie</v>
      </c>
      <c r="C185" s="23">
        <v>12.068</v>
      </c>
      <c r="D185" s="63">
        <f>SUM(C185:C190)</f>
        <v>89.775000000000006</v>
      </c>
      <c r="E185" s="64">
        <f>C185/C$200</f>
        <v>6.7962313241613115E-2</v>
      </c>
      <c r="F185" s="65">
        <f>SUM(E185:E190)</f>
        <v>0.50557811329680291</v>
      </c>
      <c r="G185" s="24">
        <v>92.126999999999995</v>
      </c>
      <c r="H185" s="66">
        <f>SUM(G185:G190)</f>
        <v>405.22300000000001</v>
      </c>
      <c r="I185" s="64">
        <f>G185/G$200</f>
        <v>0.16591119059067599</v>
      </c>
      <c r="J185" s="65">
        <f>SUM(I185:I190)</f>
        <v>0.72976467685613877</v>
      </c>
      <c r="K185" s="25">
        <f>G185/C185*1000</f>
        <v>7633.9907192575401</v>
      </c>
      <c r="L185" s="67">
        <f>H185/D185*1000</f>
        <v>4513.7621832358673</v>
      </c>
    </row>
    <row r="186" spans="2:12" ht="14.25" customHeight="1" x14ac:dyDescent="0.2">
      <c r="B186" s="51" t="str">
        <f>$B$6</f>
        <v>Braunkohle</v>
      </c>
      <c r="C186" s="26">
        <v>20.562999999999999</v>
      </c>
      <c r="D186" s="68"/>
      <c r="E186" s="69">
        <f>C186/C$200</f>
        <v>0.11580287099662664</v>
      </c>
      <c r="F186" s="70"/>
      <c r="G186" s="27">
        <v>146.05500000000001</v>
      </c>
      <c r="H186" s="71"/>
      <c r="I186" s="69">
        <f>G186/G$200</f>
        <v>0.26302993630229127</v>
      </c>
      <c r="J186" s="70"/>
      <c r="K186" s="28">
        <f>G186/C186*1000</f>
        <v>7102.80601079609</v>
      </c>
      <c r="L186" s="72"/>
    </row>
    <row r="187" spans="2:12" ht="14.25" customHeight="1" x14ac:dyDescent="0.2">
      <c r="B187" s="51" t="str">
        <f>$B$7</f>
        <v>Steinkohle</v>
      </c>
      <c r="C187" s="26">
        <v>25.946999999999999</v>
      </c>
      <c r="D187" s="68"/>
      <c r="E187" s="69">
        <f>C187/C$200</f>
        <v>0.14612347876036919</v>
      </c>
      <c r="F187" s="70"/>
      <c r="G187" s="27">
        <v>110.724</v>
      </c>
      <c r="H187" s="71"/>
      <c r="I187" s="69">
        <f>G187/G$200</f>
        <v>0.19940246254585528</v>
      </c>
      <c r="J187" s="70"/>
      <c r="K187" s="28">
        <f>G187/C187*1000</f>
        <v>4267.314140363048</v>
      </c>
      <c r="L187" s="72"/>
    </row>
    <row r="188" spans="2:12" ht="14.25" customHeight="1" x14ac:dyDescent="0.2">
      <c r="B188" s="51" t="str">
        <f>$B$8</f>
        <v>Erdgas</v>
      </c>
      <c r="C188" s="26">
        <v>23.451000000000001</v>
      </c>
      <c r="D188" s="68"/>
      <c r="E188" s="69">
        <f>C188/C$200</f>
        <v>0.13206697114924337</v>
      </c>
      <c r="F188" s="70"/>
      <c r="G188" s="27">
        <v>44.726999999999997</v>
      </c>
      <c r="H188" s="71"/>
      <c r="I188" s="69">
        <f>G188/G$200</f>
        <v>8.054869714143699E-2</v>
      </c>
      <c r="J188" s="70"/>
      <c r="K188" s="28">
        <f>G188/C188*1000</f>
        <v>1907.2534220289112</v>
      </c>
      <c r="L188" s="72"/>
    </row>
    <row r="189" spans="2:12" ht="14.25" customHeight="1" x14ac:dyDescent="0.2">
      <c r="B189" s="51" t="str">
        <f>$B$9</f>
        <v>Mineralöl</v>
      </c>
      <c r="C189" s="26">
        <v>4.4000000000000004</v>
      </c>
      <c r="D189" s="68"/>
      <c r="E189" s="69">
        <f>C189/C$200</f>
        <v>2.4779099955510253E-2</v>
      </c>
      <c r="F189" s="70"/>
      <c r="G189" s="27">
        <v>2.3889999999999998</v>
      </c>
      <c r="H189" s="71"/>
      <c r="I189" s="69">
        <f>G189/G$200</f>
        <v>4.3023417057010968E-3</v>
      </c>
      <c r="J189" s="70"/>
      <c r="K189" s="28">
        <f>G189/C189*1000</f>
        <v>542.95454545454538</v>
      </c>
      <c r="L189" s="72"/>
    </row>
    <row r="190" spans="2:12" ht="14.25" customHeight="1" x14ac:dyDescent="0.2">
      <c r="B190" s="74" t="str">
        <f>$B$10</f>
        <v>sonstige</v>
      </c>
      <c r="C190" s="29">
        <v>3.3460000000000001</v>
      </c>
      <c r="D190" s="75"/>
      <c r="E190" s="76">
        <f>C190/C$200</f>
        <v>1.8843379193440295E-2</v>
      </c>
      <c r="F190" s="77"/>
      <c r="G190" s="30">
        <v>9.2010000000000005</v>
      </c>
      <c r="H190" s="78"/>
      <c r="I190" s="76">
        <f>G190/G$200</f>
        <v>1.6570048570178231E-2</v>
      </c>
      <c r="J190" s="77"/>
      <c r="K190" s="31">
        <f>G190/C190*1000</f>
        <v>2749.8505678421998</v>
      </c>
      <c r="L190" s="80"/>
    </row>
    <row r="191" spans="2:12" ht="14.25" customHeight="1" x14ac:dyDescent="0.2">
      <c r="B191" s="32" t="str">
        <f>$B$11</f>
        <v>Pumpspeicher</v>
      </c>
      <c r="C191" s="81">
        <v>5.71</v>
      </c>
      <c r="D191" s="82"/>
      <c r="E191" s="83">
        <f>C191/C$200</f>
        <v>3.2156513805900802E-2</v>
      </c>
      <c r="F191" s="84"/>
      <c r="G191" s="85">
        <v>5.6509999999999998</v>
      </c>
      <c r="H191" s="82"/>
      <c r="I191" s="86">
        <f>G191/G$200</f>
        <v>1.017686604391666E-2</v>
      </c>
      <c r="J191" s="87"/>
      <c r="K191" s="88">
        <f>G191/C191*1000</f>
        <v>989.66725043782833</v>
      </c>
      <c r="L191" s="89"/>
    </row>
    <row r="192" spans="2:12" ht="14.25" customHeight="1" x14ac:dyDescent="0.2">
      <c r="B192" s="33" t="str">
        <f>$B$12</f>
        <v>Pumparbeit</v>
      </c>
      <c r="C192" s="93"/>
      <c r="D192" s="49" t="s">
        <v>27</v>
      </c>
      <c r="E192" s="94">
        <f>G191/G192</f>
        <v>0.72272669139276124</v>
      </c>
      <c r="F192" s="95"/>
      <c r="G192" s="96">
        <v>7.819</v>
      </c>
      <c r="H192" s="97"/>
      <c r="I192" s="98">
        <f>G192/G$200</f>
        <v>1.4081209626151895E-2</v>
      </c>
      <c r="J192" s="99"/>
      <c r="K192" s="100" t="s">
        <v>0</v>
      </c>
      <c r="L192" s="101"/>
    </row>
    <row r="193" spans="2:12" ht="14.25" customHeight="1" x14ac:dyDescent="0.2">
      <c r="B193" s="34" t="str">
        <f>$B$13</f>
        <v>Wasserkraft</v>
      </c>
      <c r="C193" s="106">
        <v>5.5890000000000004</v>
      </c>
      <c r="D193" s="107">
        <f>SUM(C193:C198)</f>
        <v>82.084000000000003</v>
      </c>
      <c r="E193" s="108">
        <f>C193/C$200</f>
        <v>3.1475088557124276E-2</v>
      </c>
      <c r="F193" s="109">
        <f>SUM(E193:E198)</f>
        <v>0.4622653728972963</v>
      </c>
      <c r="G193" s="110">
        <v>22.475000000000001</v>
      </c>
      <c r="H193" s="111">
        <f>SUM(G193:G198)</f>
        <v>144.405</v>
      </c>
      <c r="I193" s="108">
        <f>G193/G$200</f>
        <v>4.0475148528937702E-2</v>
      </c>
      <c r="J193" s="109">
        <f>SUM(I193:I198)</f>
        <v>0.2600584570999443</v>
      </c>
      <c r="K193" s="112">
        <f>G193/C193*1000</f>
        <v>4021.2918232241909</v>
      </c>
      <c r="L193" s="113">
        <f>H193/D193*1000</f>
        <v>1759.2344427659471</v>
      </c>
    </row>
    <row r="194" spans="2:12" ht="14.25" customHeight="1" x14ac:dyDescent="0.2">
      <c r="B194" s="35" t="str">
        <f>$B$14</f>
        <v>Wind</v>
      </c>
      <c r="C194" s="128">
        <v>34.265000000000001</v>
      </c>
      <c r="D194" s="115"/>
      <c r="E194" s="120">
        <f>C194/C$200</f>
        <v>0.19296724090353606</v>
      </c>
      <c r="F194" s="117"/>
      <c r="G194" s="52">
        <v>51.552999999999997</v>
      </c>
      <c r="H194" s="119"/>
      <c r="I194" s="120">
        <f>G194/G$200</f>
        <v>9.2841616556721906E-2</v>
      </c>
      <c r="J194" s="117"/>
      <c r="K194" s="125">
        <f>G194/C194*1000</f>
        <v>1504.5381584707427</v>
      </c>
      <c r="L194" s="122"/>
    </row>
    <row r="195" spans="2:12" ht="14.25" customHeight="1" x14ac:dyDescent="0.2">
      <c r="B195" s="35" t="str">
        <f>$B$15</f>
        <v>Biomasse</v>
      </c>
      <c r="C195" s="128">
        <v>5.8689999999999998</v>
      </c>
      <c r="D195" s="115"/>
      <c r="E195" s="120">
        <f>C195/C$200</f>
        <v>3.3051940372474921E-2</v>
      </c>
      <c r="F195" s="117"/>
      <c r="G195" s="52">
        <v>35.253</v>
      </c>
      <c r="H195" s="119"/>
      <c r="I195" s="120">
        <f>G195/G$200</f>
        <v>6.3487003830506816E-2</v>
      </c>
      <c r="J195" s="117"/>
      <c r="K195" s="125">
        <f>G195/C195*1000</f>
        <v>6006.645084341455</v>
      </c>
      <c r="L195" s="122"/>
    </row>
    <row r="196" spans="2:12" ht="14.25" customHeight="1" x14ac:dyDescent="0.2">
      <c r="B196" s="35" t="str">
        <f>$B$16</f>
        <v>Fotovoltaik</v>
      </c>
      <c r="C196" s="128">
        <v>36.337000000000003</v>
      </c>
      <c r="D196" s="115"/>
      <c r="E196" s="120">
        <f>C196/C$200</f>
        <v>0.20463594433713092</v>
      </c>
      <c r="F196" s="117"/>
      <c r="G196" s="52">
        <v>31.01</v>
      </c>
      <c r="H196" s="119"/>
      <c r="I196" s="120">
        <f>G196/G$200</f>
        <v>5.5845800039259534E-2</v>
      </c>
      <c r="J196" s="117"/>
      <c r="K196" s="125">
        <f>G196/C196*1000</f>
        <v>853.40011558466574</v>
      </c>
      <c r="L196" s="129"/>
    </row>
    <row r="197" spans="2:12" ht="14.25" customHeight="1" x14ac:dyDescent="0.2">
      <c r="B197" s="35" t="str">
        <f>$B$17</f>
        <v>sonstige</v>
      </c>
      <c r="C197" s="156" t="s">
        <v>0</v>
      </c>
      <c r="D197" s="115"/>
      <c r="E197" s="155" t="s">
        <v>0</v>
      </c>
      <c r="F197" s="117"/>
      <c r="G197" s="52">
        <v>4.1139999999999999</v>
      </c>
      <c r="H197" s="119"/>
      <c r="I197" s="120">
        <f>G197/G$200</f>
        <v>7.4088881445183398E-3</v>
      </c>
      <c r="J197" s="117"/>
      <c r="K197" s="154" t="s">
        <v>0</v>
      </c>
      <c r="L197" s="153" t="s">
        <v>0</v>
      </c>
    </row>
    <row r="198" spans="2:12" ht="14.25" customHeight="1" thickBot="1" x14ac:dyDescent="0.25">
      <c r="B198" s="36" t="str">
        <f>$B$18</f>
        <v>Geothermie</v>
      </c>
      <c r="C198" s="130">
        <v>2.4E-2</v>
      </c>
      <c r="D198" s="131"/>
      <c r="E198" s="132">
        <f>C198/C$200</f>
        <v>1.3515872703005592E-4</v>
      </c>
      <c r="F198" s="133"/>
      <c r="G198" s="152" t="s">
        <v>0</v>
      </c>
      <c r="H198" s="135"/>
      <c r="I198" s="137" t="s">
        <v>0</v>
      </c>
      <c r="J198" s="133"/>
      <c r="K198" s="50" t="s">
        <v>0</v>
      </c>
      <c r="L198" s="138" t="s">
        <v>0</v>
      </c>
    </row>
    <row r="199" spans="2:12" ht="14.25" customHeight="1" thickBot="1" x14ac:dyDescent="0.25">
      <c r="B199" s="37" t="str">
        <f>$B$19</f>
        <v>Netzverluste</v>
      </c>
      <c r="C199" s="139" t="s">
        <v>0</v>
      </c>
      <c r="D199" s="140" t="s">
        <v>0</v>
      </c>
      <c r="E199" s="141" t="s">
        <v>0</v>
      </c>
      <c r="F199" s="142" t="s">
        <v>0</v>
      </c>
      <c r="G199" s="143">
        <v>25.904</v>
      </c>
      <c r="H199" s="144"/>
      <c r="I199" s="145">
        <f>G199/G200</f>
        <v>4.6650422580360493E-2</v>
      </c>
      <c r="J199" s="146"/>
      <c r="K199" s="147" t="s">
        <v>0</v>
      </c>
      <c r="L199" s="148"/>
    </row>
    <row r="200" spans="2:12" ht="14.25" customHeight="1" thickTop="1" thickBot="1" x14ac:dyDescent="0.25">
      <c r="B200" s="38" t="str">
        <f>$B$20</f>
        <v>Gesamt</v>
      </c>
      <c r="C200" s="39">
        <f>SUM(C185:C198)</f>
        <v>177.56900000000002</v>
      </c>
      <c r="D200" s="40"/>
      <c r="E200" s="41">
        <f>SUM(E185:E191,E193:E198)</f>
        <v>1</v>
      </c>
      <c r="F200" s="42"/>
      <c r="G200" s="43">
        <f>SUM(G185:G191,G193:G198)</f>
        <v>555.27900000000011</v>
      </c>
      <c r="H200" s="44"/>
      <c r="I200" s="41">
        <f>J185+I191+J193</f>
        <v>0.99999999999999978</v>
      </c>
      <c r="J200" s="42"/>
      <c r="K200" s="45">
        <f>G200/C200*1000</f>
        <v>3127.1167827717677</v>
      </c>
      <c r="L200" s="46"/>
    </row>
    <row r="201" spans="2:12" ht="14.25" thickTop="1" thickBot="1" x14ac:dyDescent="0.25"/>
    <row r="202" spans="2:12" ht="19.5" customHeight="1" thickTop="1" thickBot="1" x14ac:dyDescent="0.25">
      <c r="B202" s="2" t="str">
        <f>$B$2</f>
        <v>Allgemeine Stromversorgung Deutschlands nach BDEW</v>
      </c>
      <c r="C202" s="3"/>
      <c r="D202" s="3"/>
      <c r="E202" s="4"/>
      <c r="F202" s="4"/>
      <c r="G202" s="3"/>
      <c r="H202" s="3"/>
      <c r="I202" s="4"/>
      <c r="J202" s="4"/>
      <c r="K202" s="5"/>
      <c r="L202" s="6"/>
    </row>
    <row r="203" spans="2:12" ht="14.25" customHeight="1" thickTop="1" x14ac:dyDescent="0.2">
      <c r="B203" s="55">
        <v>2014</v>
      </c>
      <c r="C203" s="7" t="str">
        <f>$C$3</f>
        <v>Netto-Engpassleistung</v>
      </c>
      <c r="D203" s="8"/>
      <c r="E203" s="9"/>
      <c r="F203" s="10"/>
      <c r="G203" s="11" t="str">
        <f>$G$3</f>
        <v>Netto-Erzeugung</v>
      </c>
      <c r="H203" s="8"/>
      <c r="I203" s="9"/>
      <c r="J203" s="10"/>
      <c r="K203" s="12" t="str">
        <f>$K$3</f>
        <v>Auslastung</v>
      </c>
      <c r="L203" s="13"/>
    </row>
    <row r="204" spans="2:12" ht="14.25" customHeight="1" thickBot="1" x14ac:dyDescent="0.25">
      <c r="B204" s="56"/>
      <c r="C204" s="14" t="str">
        <f>$C$4</f>
        <v>absolut</v>
      </c>
      <c r="D204" s="15"/>
      <c r="E204" s="16" t="str">
        <f>$E$4</f>
        <v>anteilig</v>
      </c>
      <c r="F204" s="17"/>
      <c r="G204" s="18" t="str">
        <f>$G$4</f>
        <v>absolut</v>
      </c>
      <c r="H204" s="15"/>
      <c r="I204" s="19" t="str">
        <f>$I$4</f>
        <v>anteilig</v>
      </c>
      <c r="J204" s="20"/>
      <c r="K204" s="21" t="str">
        <f>$K$4</f>
        <v>einzeln</v>
      </c>
      <c r="L204" s="22" t="str">
        <f>$L$4</f>
        <v>gesamt</v>
      </c>
    </row>
    <row r="205" spans="2:12" ht="14.25" customHeight="1" thickTop="1" x14ac:dyDescent="0.2">
      <c r="B205" s="62" t="str">
        <f>$B$5</f>
        <v>Kernenergie</v>
      </c>
      <c r="C205" s="23">
        <v>12.068</v>
      </c>
      <c r="D205" s="63">
        <f>SUM(C205:C210)</f>
        <v>91.028999999999996</v>
      </c>
      <c r="E205" s="64">
        <f>C205/C$220</f>
        <v>6.4891140111736648E-2</v>
      </c>
      <c r="F205" s="65">
        <f>SUM(E205:E210)</f>
        <v>0.48947427852430192</v>
      </c>
      <c r="G205" s="24">
        <v>91.97</v>
      </c>
      <c r="H205" s="66">
        <f>SUM(G205:G210)</f>
        <v>379.95000000000005</v>
      </c>
      <c r="I205" s="64">
        <f>G205/G$220</f>
        <v>0.1710178883558332</v>
      </c>
      <c r="J205" s="65">
        <f>SUM(I205:I210)</f>
        <v>0.70651567555505956</v>
      </c>
      <c r="K205" s="25">
        <f>G205/C205*1000</f>
        <v>7620.9811070599935</v>
      </c>
      <c r="L205" s="67">
        <f>H205/D205*1000</f>
        <v>4173.9445671159747</v>
      </c>
    </row>
    <row r="206" spans="2:12" ht="14.25" customHeight="1" x14ac:dyDescent="0.2">
      <c r="B206" s="51" t="str">
        <f>$B$6</f>
        <v>Braunkohle</v>
      </c>
      <c r="C206" s="26">
        <v>20.562999999999999</v>
      </c>
      <c r="D206" s="68"/>
      <c r="E206" s="69">
        <f>C206/C$220</f>
        <v>0.11056981389771633</v>
      </c>
      <c r="F206" s="70"/>
      <c r="G206" s="27">
        <v>141.72999999999999</v>
      </c>
      <c r="H206" s="71"/>
      <c r="I206" s="69">
        <f>G206/G$220</f>
        <v>0.26354643162631552</v>
      </c>
      <c r="J206" s="70"/>
      <c r="K206" s="28">
        <f>G206/C206*1000</f>
        <v>6892.4767786801531</v>
      </c>
      <c r="L206" s="72"/>
    </row>
    <row r="207" spans="2:12" ht="14.25" customHeight="1" x14ac:dyDescent="0.2">
      <c r="B207" s="51" t="str">
        <f>$B$7</f>
        <v>Steinkohle</v>
      </c>
      <c r="C207" s="26">
        <v>27.106000000000002</v>
      </c>
      <c r="D207" s="68"/>
      <c r="E207" s="69">
        <f>C207/C$220</f>
        <v>0.14575234039349799</v>
      </c>
      <c r="F207" s="70"/>
      <c r="G207" s="27">
        <v>99.16</v>
      </c>
      <c r="H207" s="71"/>
      <c r="I207" s="69">
        <f>G207/G$220</f>
        <v>0.18438766781955443</v>
      </c>
      <c r="J207" s="70"/>
      <c r="K207" s="28">
        <f>G207/C207*1000</f>
        <v>3658.2306500405812</v>
      </c>
      <c r="L207" s="72"/>
    </row>
    <row r="208" spans="2:12" ht="14.25" customHeight="1" x14ac:dyDescent="0.2">
      <c r="B208" s="51" t="str">
        <f>$B$8</f>
        <v>Erdgas</v>
      </c>
      <c r="C208" s="26">
        <v>23.696999999999999</v>
      </c>
      <c r="D208" s="68"/>
      <c r="E208" s="69">
        <f>C208/C$220</f>
        <v>0.12742172250810602</v>
      </c>
      <c r="F208" s="70"/>
      <c r="G208" s="27">
        <v>35.590000000000003</v>
      </c>
      <c r="H208" s="71"/>
      <c r="I208" s="69">
        <f>G208/G$220</f>
        <v>6.6179478597195876E-2</v>
      </c>
      <c r="J208" s="70"/>
      <c r="K208" s="28">
        <f>G208/C208*1000</f>
        <v>1501.8778748364773</v>
      </c>
      <c r="L208" s="72"/>
    </row>
    <row r="209" spans="2:12" ht="14.25" customHeight="1" x14ac:dyDescent="0.2">
      <c r="B209" s="51" t="str">
        <f>$B$9</f>
        <v>Mineralöl</v>
      </c>
      <c r="C209" s="26">
        <v>4.2</v>
      </c>
      <c r="D209" s="68"/>
      <c r="E209" s="69">
        <f>C209/C$220</f>
        <v>2.2583923472762179E-2</v>
      </c>
      <c r="F209" s="70"/>
      <c r="G209" s="27">
        <v>1.5</v>
      </c>
      <c r="H209" s="71"/>
      <c r="I209" s="69">
        <f>G209/G$220</f>
        <v>2.7892446725426749E-3</v>
      </c>
      <c r="J209" s="70"/>
      <c r="K209" s="28">
        <f>G209/C209*1000</f>
        <v>357.14285714285717</v>
      </c>
      <c r="L209" s="72"/>
    </row>
    <row r="210" spans="2:12" ht="14.25" customHeight="1" x14ac:dyDescent="0.2">
      <c r="B210" s="74" t="str">
        <f>$B$10</f>
        <v>sonstige</v>
      </c>
      <c r="C210" s="29">
        <v>3.395</v>
      </c>
      <c r="D210" s="75"/>
      <c r="E210" s="76">
        <f>C210/C$220</f>
        <v>1.825533814048276E-2</v>
      </c>
      <c r="F210" s="77"/>
      <c r="G210" s="30">
        <v>10</v>
      </c>
      <c r="H210" s="78"/>
      <c r="I210" s="76">
        <f>G210/G$220</f>
        <v>1.8594964483617832E-2</v>
      </c>
      <c r="J210" s="77"/>
      <c r="K210" s="31">
        <f>G210/C210*1000</f>
        <v>2945.5081001472754</v>
      </c>
      <c r="L210" s="80"/>
    </row>
    <row r="211" spans="2:12" ht="14.25" customHeight="1" x14ac:dyDescent="0.2">
      <c r="B211" s="32" t="str">
        <f>$B$11</f>
        <v>Pumpspeicher</v>
      </c>
      <c r="C211" s="81">
        <v>5.71</v>
      </c>
      <c r="D211" s="82"/>
      <c r="E211" s="83">
        <f>C211/C$220</f>
        <v>3.0703381673683815E-2</v>
      </c>
      <c r="F211" s="84"/>
      <c r="G211" s="85">
        <v>5.67</v>
      </c>
      <c r="H211" s="82"/>
      <c r="I211" s="86">
        <f>G211/G$220</f>
        <v>1.0543344862211311E-2</v>
      </c>
      <c r="J211" s="87"/>
      <c r="K211" s="88">
        <f>G211/C211*1000</f>
        <v>992.99474605954458</v>
      </c>
      <c r="L211" s="89"/>
    </row>
    <row r="212" spans="2:12" ht="14.25" customHeight="1" x14ac:dyDescent="0.2">
      <c r="B212" s="33" t="str">
        <f>$B$12</f>
        <v>Pumparbeit</v>
      </c>
      <c r="C212" s="93"/>
      <c r="D212" s="49" t="s">
        <v>27</v>
      </c>
      <c r="E212" s="94">
        <f>G211/G212</f>
        <v>0.70874999999999999</v>
      </c>
      <c r="F212" s="95"/>
      <c r="G212" s="96">
        <v>8</v>
      </c>
      <c r="H212" s="97"/>
      <c r="I212" s="98">
        <f>G212/G$220</f>
        <v>1.4875971586894266E-2</v>
      </c>
      <c r="J212" s="99"/>
      <c r="K212" s="100" t="s">
        <v>0</v>
      </c>
      <c r="L212" s="101"/>
    </row>
    <row r="213" spans="2:12" ht="14.25" customHeight="1" x14ac:dyDescent="0.2">
      <c r="B213" s="34" t="str">
        <f>$B$13</f>
        <v>Wasserkraft</v>
      </c>
      <c r="C213" s="106">
        <v>5.6139999999999999</v>
      </c>
      <c r="D213" s="107">
        <f>SUM(C213:C218)</f>
        <v>89.233999999999995</v>
      </c>
      <c r="E213" s="108">
        <f>C213/C$220</f>
        <v>3.0187177708592108E-2</v>
      </c>
      <c r="F213" s="109">
        <f>SUM(E213:E218)</f>
        <v>0.47982233980201427</v>
      </c>
      <c r="G213" s="110">
        <v>20.03</v>
      </c>
      <c r="H213" s="111">
        <f>SUM(G213:G218)</f>
        <v>152.16</v>
      </c>
      <c r="I213" s="108">
        <f>G213/G$220</f>
        <v>3.7245713860686522E-2</v>
      </c>
      <c r="J213" s="109">
        <f>SUM(I213:I218)</f>
        <v>0.2829409795827289</v>
      </c>
      <c r="K213" s="112">
        <f>G213/C213*1000</f>
        <v>3567.8660491628075</v>
      </c>
      <c r="L213" s="113">
        <f>H213/D213*1000</f>
        <v>1705.1796400475157</v>
      </c>
    </row>
    <row r="214" spans="2:12" ht="14.25" customHeight="1" x14ac:dyDescent="0.2">
      <c r="B214" s="35" t="str">
        <f>$B$14</f>
        <v>Wind</v>
      </c>
      <c r="C214" s="128">
        <v>39.152999999999999</v>
      </c>
      <c r="D214" s="115"/>
      <c r="E214" s="120">
        <f>C214/C$220</f>
        <v>0.21053056088787084</v>
      </c>
      <c r="F214" s="117"/>
      <c r="G214" s="52">
        <v>55.8</v>
      </c>
      <c r="H214" s="119"/>
      <c r="I214" s="120">
        <f>G214/G$220</f>
        <v>0.1037599018185875</v>
      </c>
      <c r="J214" s="117"/>
      <c r="K214" s="125">
        <f>G214/C214*1000</f>
        <v>1425.1781472684086</v>
      </c>
      <c r="L214" s="122"/>
    </row>
    <row r="215" spans="2:12" ht="14.25" customHeight="1" x14ac:dyDescent="0.2">
      <c r="B215" s="35" t="str">
        <f>$B$15</f>
        <v>Biomasse</v>
      </c>
      <c r="C215" s="128">
        <v>6.2069999999999999</v>
      </c>
      <c r="D215" s="115"/>
      <c r="E215" s="120">
        <f>C215/C$220</f>
        <v>3.3375812617960673E-2</v>
      </c>
      <c r="F215" s="117"/>
      <c r="G215" s="52">
        <v>36.770000000000003</v>
      </c>
      <c r="H215" s="119"/>
      <c r="I215" s="120">
        <f>G215/G$220</f>
        <v>6.8373684406262777E-2</v>
      </c>
      <c r="J215" s="117"/>
      <c r="K215" s="125">
        <f>G215/C215*1000</f>
        <v>5923.9568229418401</v>
      </c>
      <c r="L215" s="122"/>
    </row>
    <row r="216" spans="2:12" ht="14.25" customHeight="1" x14ac:dyDescent="0.2">
      <c r="B216" s="35" t="str">
        <f>$B$16</f>
        <v>Fotovoltaik</v>
      </c>
      <c r="C216" s="128">
        <v>38.235999999999997</v>
      </c>
      <c r="D216" s="115"/>
      <c r="E216" s="120">
        <f>C216/C$220</f>
        <v>0.20559973759631775</v>
      </c>
      <c r="F216" s="117"/>
      <c r="G216" s="52">
        <v>34.93</v>
      </c>
      <c r="H216" s="119"/>
      <c r="I216" s="120">
        <f>G216/G$220</f>
        <v>6.4952210941277094E-2</v>
      </c>
      <c r="J216" s="117"/>
      <c r="K216" s="125">
        <f>G216/C216*1000</f>
        <v>913.53698085573808</v>
      </c>
      <c r="L216" s="129"/>
    </row>
    <row r="217" spans="2:12" ht="14.25" customHeight="1" x14ac:dyDescent="0.2">
      <c r="B217" s="35" t="str">
        <f>$B$17</f>
        <v>sonstige</v>
      </c>
      <c r="C217" s="156" t="s">
        <v>0</v>
      </c>
      <c r="D217" s="115"/>
      <c r="E217" s="155" t="s">
        <v>0</v>
      </c>
      <c r="F217" s="117"/>
      <c r="G217" s="52">
        <v>4.63</v>
      </c>
      <c r="H217" s="119"/>
      <c r="I217" s="120">
        <f>G217/G$220</f>
        <v>8.6094685559150574E-3</v>
      </c>
      <c r="J217" s="117"/>
      <c r="K217" s="154" t="s">
        <v>0</v>
      </c>
      <c r="L217" s="153" t="s">
        <v>0</v>
      </c>
    </row>
    <row r="218" spans="2:12" ht="14.25" customHeight="1" thickBot="1" x14ac:dyDescent="0.25">
      <c r="B218" s="36" t="str">
        <f>$B$18</f>
        <v>Geothermie</v>
      </c>
      <c r="C218" s="130">
        <v>2.4E-2</v>
      </c>
      <c r="D218" s="131"/>
      <c r="E218" s="132">
        <f>C218/C$220</f>
        <v>1.2905099127292672E-4</v>
      </c>
      <c r="F218" s="133"/>
      <c r="G218" s="152" t="s">
        <v>0</v>
      </c>
      <c r="H218" s="135"/>
      <c r="I218" s="137" t="s">
        <v>0</v>
      </c>
      <c r="J218" s="133"/>
      <c r="K218" s="50" t="s">
        <v>0</v>
      </c>
      <c r="L218" s="138" t="s">
        <v>0</v>
      </c>
    </row>
    <row r="219" spans="2:12" ht="14.25" customHeight="1" thickBot="1" x14ac:dyDescent="0.25">
      <c r="B219" s="37" t="str">
        <f>$B$19</f>
        <v>Netzverluste</v>
      </c>
      <c r="C219" s="139" t="s">
        <v>0</v>
      </c>
      <c r="D219" s="140" t="s">
        <v>0</v>
      </c>
      <c r="E219" s="141" t="s">
        <v>0</v>
      </c>
      <c r="F219" s="142" t="s">
        <v>0</v>
      </c>
      <c r="G219" s="143">
        <v>24.38</v>
      </c>
      <c r="H219" s="144"/>
      <c r="I219" s="145">
        <f>G219/G220</f>
        <v>4.5334523411060278E-2</v>
      </c>
      <c r="J219" s="146"/>
      <c r="K219" s="147" t="s">
        <v>0</v>
      </c>
      <c r="L219" s="148"/>
    </row>
    <row r="220" spans="2:12" ht="14.25" customHeight="1" thickTop="1" thickBot="1" x14ac:dyDescent="0.25">
      <c r="B220" s="38" t="str">
        <f>$B$20</f>
        <v>Gesamt</v>
      </c>
      <c r="C220" s="39">
        <f>SUM(C205:C218)</f>
        <v>185.97299999999998</v>
      </c>
      <c r="D220" s="40"/>
      <c r="E220" s="41">
        <f>SUM(E205:E211,E213:E218)</f>
        <v>1</v>
      </c>
      <c r="F220" s="42"/>
      <c r="G220" s="43">
        <f>SUM(G205:G211,G213:G218)</f>
        <v>537.78000000000009</v>
      </c>
      <c r="H220" s="44"/>
      <c r="I220" s="41">
        <f>J205+I211+J213</f>
        <v>0.99999999999999978</v>
      </c>
      <c r="J220" s="42"/>
      <c r="K220" s="45">
        <f>G220/C220*1000</f>
        <v>2891.7100869481064</v>
      </c>
      <c r="L220" s="46"/>
    </row>
    <row r="221" spans="2:12" ht="14.25" thickTop="1" thickBot="1" x14ac:dyDescent="0.25"/>
    <row r="222" spans="2:12" ht="19.5" customHeight="1" thickTop="1" thickBot="1" x14ac:dyDescent="0.25">
      <c r="B222" s="2" t="str">
        <f>$B$2</f>
        <v>Allgemeine Stromversorgung Deutschlands nach BDEW</v>
      </c>
      <c r="C222" s="3"/>
      <c r="D222" s="3"/>
      <c r="E222" s="4"/>
      <c r="F222" s="4"/>
      <c r="G222" s="3"/>
      <c r="H222" s="3"/>
      <c r="I222" s="4"/>
      <c r="J222" s="4"/>
      <c r="K222" s="5"/>
      <c r="L222" s="6"/>
    </row>
    <row r="223" spans="2:12" ht="14.25" customHeight="1" thickTop="1" x14ac:dyDescent="0.2">
      <c r="B223" s="55">
        <v>2015</v>
      </c>
      <c r="C223" s="7" t="str">
        <f>$C$3</f>
        <v>Netto-Engpassleistung</v>
      </c>
      <c r="D223" s="8"/>
      <c r="E223" s="9"/>
      <c r="F223" s="10"/>
      <c r="G223" s="11" t="str">
        <f>$G$3</f>
        <v>Netto-Erzeugung</v>
      </c>
      <c r="H223" s="8"/>
      <c r="I223" s="9"/>
      <c r="J223" s="10"/>
      <c r="K223" s="12" t="str">
        <f>$K$3</f>
        <v>Auslastung</v>
      </c>
      <c r="L223" s="13"/>
    </row>
    <row r="224" spans="2:12" ht="14.25" customHeight="1" thickBot="1" x14ac:dyDescent="0.25">
      <c r="B224" s="56"/>
      <c r="C224" s="14" t="str">
        <f>$C$4</f>
        <v>absolut</v>
      </c>
      <c r="D224" s="15"/>
      <c r="E224" s="16" t="str">
        <f>$E$4</f>
        <v>anteilig</v>
      </c>
      <c r="F224" s="17"/>
      <c r="G224" s="18" t="str">
        <f>$G$4</f>
        <v>absolut</v>
      </c>
      <c r="H224" s="15"/>
      <c r="I224" s="19" t="str">
        <f>$I$4</f>
        <v>anteilig</v>
      </c>
      <c r="J224" s="20"/>
      <c r="K224" s="21" t="str">
        <f>$K$4</f>
        <v>einzeln</v>
      </c>
      <c r="L224" s="22" t="str">
        <f>$L$4</f>
        <v>gesamt</v>
      </c>
    </row>
    <row r="225" spans="2:12" ht="14.25" customHeight="1" thickTop="1" x14ac:dyDescent="0.2">
      <c r="B225" s="62" t="str">
        <f>$B$5</f>
        <v>Kernenergie</v>
      </c>
      <c r="C225" s="23">
        <v>10.798999999999999</v>
      </c>
      <c r="D225" s="63">
        <f>SUM(C225:C230)</f>
        <v>90.054999999999993</v>
      </c>
      <c r="E225" s="64">
        <f>C225/C$240</f>
        <v>5.6130484274212411E-2</v>
      </c>
      <c r="F225" s="65">
        <f>SUM(E225:E230)</f>
        <v>0.4680832263463468</v>
      </c>
      <c r="G225" s="24">
        <v>86.75</v>
      </c>
      <c r="H225" s="66">
        <f>SUM(G225:G230)</f>
        <v>380.97</v>
      </c>
      <c r="I225" s="64">
        <f>G225/G$240</f>
        <v>0.15107476415792578</v>
      </c>
      <c r="J225" s="65">
        <f>SUM(I225:I230)</f>
        <v>0.66345767033135439</v>
      </c>
      <c r="K225" s="25">
        <f>G225/C225*1000</f>
        <v>8033.1512177053437</v>
      </c>
      <c r="L225" s="67">
        <f>H225/D225*1000</f>
        <v>4230.4147465437791</v>
      </c>
    </row>
    <row r="226" spans="2:12" ht="14.25" customHeight="1" x14ac:dyDescent="0.2">
      <c r="B226" s="51" t="str">
        <f>$B$6</f>
        <v>Braunkohle</v>
      </c>
      <c r="C226" s="26">
        <v>20.452000000000002</v>
      </c>
      <c r="D226" s="68"/>
      <c r="E226" s="69">
        <f>C226/C$240</f>
        <v>0.10630434895603226</v>
      </c>
      <c r="F226" s="70"/>
      <c r="G226" s="27">
        <v>140.87</v>
      </c>
      <c r="H226" s="71"/>
      <c r="I226" s="69">
        <f>G226/G$240</f>
        <v>0.24532451904238625</v>
      </c>
      <c r="J226" s="70"/>
      <c r="K226" s="28">
        <f>G226/C226*1000</f>
        <v>6887.8349305691372</v>
      </c>
      <c r="L226" s="72"/>
    </row>
    <row r="227" spans="2:12" ht="14.25" customHeight="1" x14ac:dyDescent="0.2">
      <c r="B227" s="51" t="str">
        <f>$B$7</f>
        <v>Steinkohle</v>
      </c>
      <c r="C227" s="26">
        <v>27.893999999999998</v>
      </c>
      <c r="D227" s="68"/>
      <c r="E227" s="69">
        <f>C227/C$240</f>
        <v>0.14498599206823604</v>
      </c>
      <c r="F227" s="70"/>
      <c r="G227" s="27">
        <v>107.35</v>
      </c>
      <c r="H227" s="71"/>
      <c r="I227" s="69">
        <f>G227/G$240</f>
        <v>0.1869495784709318</v>
      </c>
      <c r="J227" s="70"/>
      <c r="K227" s="28">
        <f>G227/C227*1000</f>
        <v>3848.4978848497885</v>
      </c>
      <c r="L227" s="72"/>
    </row>
    <row r="228" spans="2:12" ht="14.25" customHeight="1" x14ac:dyDescent="0.2">
      <c r="B228" s="51" t="str">
        <f>$B$8</f>
        <v>Erdgas</v>
      </c>
      <c r="C228" s="26">
        <v>23.077000000000002</v>
      </c>
      <c r="D228" s="68"/>
      <c r="E228" s="69">
        <f>C228/C$240</f>
        <v>0.11994843833651264</v>
      </c>
      <c r="F228" s="70"/>
      <c r="G228" s="27">
        <v>35.729999999999997</v>
      </c>
      <c r="H228" s="71"/>
      <c r="I228" s="69">
        <f>G228/G$240</f>
        <v>6.2223646378820614E-2</v>
      </c>
      <c r="J228" s="70"/>
      <c r="K228" s="28">
        <f>G228/C228*1000</f>
        <v>1548.294839017203</v>
      </c>
      <c r="L228" s="72"/>
    </row>
    <row r="229" spans="2:12" ht="14.25" customHeight="1" x14ac:dyDescent="0.2">
      <c r="B229" s="51" t="str">
        <f>$B$9</f>
        <v>Mineralöl</v>
      </c>
      <c r="C229" s="26">
        <v>4.5030000000000001</v>
      </c>
      <c r="D229" s="68"/>
      <c r="E229" s="69">
        <f>C229/C$240</f>
        <v>2.3405460754401194E-2</v>
      </c>
      <c r="F229" s="70"/>
      <c r="G229" s="27">
        <v>1.51</v>
      </c>
      <c r="H229" s="71"/>
      <c r="I229" s="69">
        <f>G229/G$240</f>
        <v>2.6296587190601491E-3</v>
      </c>
      <c r="J229" s="70"/>
      <c r="K229" s="28">
        <f>G229/C229*1000</f>
        <v>335.3320008882967</v>
      </c>
      <c r="L229" s="72"/>
    </row>
    <row r="230" spans="2:12" ht="14.25" customHeight="1" x14ac:dyDescent="0.2">
      <c r="B230" s="74" t="str">
        <f>$B$10</f>
        <v>sonstige</v>
      </c>
      <c r="C230" s="29">
        <v>3.33</v>
      </c>
      <c r="D230" s="75"/>
      <c r="E230" s="76">
        <f>C230/C$240</f>
        <v>1.7308501956952251E-2</v>
      </c>
      <c r="F230" s="77"/>
      <c r="G230" s="30">
        <v>8.76</v>
      </c>
      <c r="H230" s="78"/>
      <c r="I230" s="76">
        <f>G230/G$240</f>
        <v>1.525550356222974E-2</v>
      </c>
      <c r="J230" s="77"/>
      <c r="K230" s="31">
        <f>G230/C230*1000</f>
        <v>2630.6306306306305</v>
      </c>
      <c r="L230" s="80"/>
    </row>
    <row r="231" spans="2:12" ht="14.25" customHeight="1" x14ac:dyDescent="0.2">
      <c r="B231" s="32" t="str">
        <f>$B$11</f>
        <v>Pumpspeicher</v>
      </c>
      <c r="C231" s="81">
        <v>5.71</v>
      </c>
      <c r="D231" s="82"/>
      <c r="E231" s="83">
        <f>C231/C$240</f>
        <v>2.9679142995254457E-2</v>
      </c>
      <c r="F231" s="84"/>
      <c r="G231" s="85">
        <v>5.79</v>
      </c>
      <c r="H231" s="82"/>
      <c r="I231" s="86">
        <f>G231/G$240</f>
        <v>1.0083260916131301E-2</v>
      </c>
      <c r="J231" s="87"/>
      <c r="K231" s="88">
        <f>G231/C231*1000</f>
        <v>1014.0105078809107</v>
      </c>
      <c r="L231" s="89"/>
    </row>
    <row r="232" spans="2:12" ht="14.25" customHeight="1" x14ac:dyDescent="0.2">
      <c r="B232" s="33" t="str">
        <f>$B$12</f>
        <v>Pumparbeit</v>
      </c>
      <c r="C232" s="93"/>
      <c r="D232" s="49" t="s">
        <v>27</v>
      </c>
      <c r="E232" s="94">
        <f>G231/G232</f>
        <v>0.72375</v>
      </c>
      <c r="F232" s="95"/>
      <c r="G232" s="96">
        <v>8</v>
      </c>
      <c r="H232" s="97"/>
      <c r="I232" s="98">
        <f>G232/G$240</f>
        <v>1.3931966723497479E-2</v>
      </c>
      <c r="J232" s="99"/>
      <c r="K232" s="100" t="s">
        <v>0</v>
      </c>
      <c r="L232" s="101"/>
    </row>
    <row r="233" spans="2:12" ht="14.25" customHeight="1" x14ac:dyDescent="0.2">
      <c r="B233" s="34" t="str">
        <f>$B$13</f>
        <v>Wasserkraft</v>
      </c>
      <c r="C233" s="106">
        <v>5.5570000000000004</v>
      </c>
      <c r="D233" s="107">
        <f>SUM(C233:C238)</f>
        <v>96.625999999999991</v>
      </c>
      <c r="E233" s="108">
        <f>C233/C$240</f>
        <v>2.8883887499935031E-2</v>
      </c>
      <c r="F233" s="109">
        <f>SUM(E233:E238)</f>
        <v>0.50223763065839877</v>
      </c>
      <c r="G233" s="110">
        <v>18.899999999999999</v>
      </c>
      <c r="H233" s="111">
        <f>SUM(G233:G238)</f>
        <v>187.459</v>
      </c>
      <c r="I233" s="108">
        <f>G233/G$240</f>
        <v>3.291427138426279E-2</v>
      </c>
      <c r="J233" s="109">
        <f>SUM(I233:I238)</f>
        <v>0.32630930011023662</v>
      </c>
      <c r="K233" s="112">
        <f>G233/C233*1000</f>
        <v>3401.1157099154216</v>
      </c>
      <c r="L233" s="113">
        <f>H233/D233*1000</f>
        <v>1940.047192267092</v>
      </c>
    </row>
    <row r="234" spans="2:12" ht="14.25" customHeight="1" x14ac:dyDescent="0.2">
      <c r="B234" s="35" t="str">
        <f>$B$134</f>
        <v>Wind an Land</v>
      </c>
      <c r="C234" s="123">
        <f>44.541*41.03258/(41.03258+3.28335)</f>
        <v>41.240974651327413</v>
      </c>
      <c r="D234" s="115"/>
      <c r="E234" s="116">
        <f>C234/C$240</f>
        <v>0.21436020734508066</v>
      </c>
      <c r="F234" s="117"/>
      <c r="G234" s="151">
        <f>12.2/(1.3+12.2)*87.711</f>
        <v>79.264755555555553</v>
      </c>
      <c r="H234" s="119"/>
      <c r="I234" s="120">
        <f>G234/G$240</f>
        <v>0.13803924209327023</v>
      </c>
      <c r="J234" s="117"/>
      <c r="K234" s="121">
        <f>G234/C234*1000</f>
        <v>1921.990356088839</v>
      </c>
      <c r="L234" s="122"/>
    </row>
    <row r="235" spans="2:12" ht="14.25" customHeight="1" x14ac:dyDescent="0.2">
      <c r="B235" s="35" t="str">
        <f>$B$135</f>
        <v>Wind auf See</v>
      </c>
      <c r="C235" s="123">
        <f>44.541*3.28335/(41.03258+3.28335)</f>
        <v>3.3000253486725875</v>
      </c>
      <c r="D235" s="115"/>
      <c r="E235" s="116">
        <f>C235/C$240</f>
        <v>1.7152701262910363E-2</v>
      </c>
      <c r="F235" s="117"/>
      <c r="G235" s="151">
        <f>1.3/(1.3+12.2)*87.711</f>
        <v>8.446244444444444</v>
      </c>
      <c r="H235" s="119"/>
      <c r="I235" s="120">
        <f>G235/G$240</f>
        <v>1.4709099567315682E-2</v>
      </c>
      <c r="J235" s="117"/>
      <c r="K235" s="121">
        <f>G235/C235*1000</f>
        <v>2559.4483532806462</v>
      </c>
      <c r="L235" s="122"/>
    </row>
    <row r="236" spans="2:12" ht="14.25" customHeight="1" x14ac:dyDescent="0.2">
      <c r="B236" s="35" t="str">
        <f>$B$15</f>
        <v>Biomasse</v>
      </c>
      <c r="C236" s="128">
        <v>6.6959999999999997</v>
      </c>
      <c r="D236" s="115"/>
      <c r="E236" s="120">
        <f>C236/C$240</f>
        <v>3.4804122853979658E-2</v>
      </c>
      <c r="F236" s="117"/>
      <c r="G236" s="52">
        <v>42.33</v>
      </c>
      <c r="H236" s="119"/>
      <c r="I236" s="120">
        <f>G236/G$240</f>
        <v>7.3717518925706035E-2</v>
      </c>
      <c r="J236" s="117"/>
      <c r="K236" s="125">
        <f>G236/C236*1000</f>
        <v>6321.6845878136201</v>
      </c>
      <c r="L236" s="122"/>
    </row>
    <row r="237" spans="2:12" ht="14.25" customHeight="1" x14ac:dyDescent="0.2">
      <c r="B237" s="35" t="str">
        <f>$B$16</f>
        <v>Fotovoltaik</v>
      </c>
      <c r="C237" s="128">
        <v>39.798999999999999</v>
      </c>
      <c r="D237" s="115"/>
      <c r="E237" s="120">
        <f>C237/C$240</f>
        <v>0.2068651860014242</v>
      </c>
      <c r="F237" s="117"/>
      <c r="G237" s="52">
        <v>38.432000000000002</v>
      </c>
      <c r="H237" s="119"/>
      <c r="I237" s="120">
        <f>G237/G$240</f>
        <v>6.6929168139681902E-2</v>
      </c>
      <c r="J237" s="117"/>
      <c r="K237" s="125">
        <f>G237/C237*1000</f>
        <v>965.65240332671692</v>
      </c>
      <c r="L237" s="122"/>
    </row>
    <row r="238" spans="2:12" ht="14.25" customHeight="1" thickBot="1" x14ac:dyDescent="0.25">
      <c r="B238" s="36" t="str">
        <f>$B$18</f>
        <v>Geothermie</v>
      </c>
      <c r="C238" s="130">
        <v>3.3000000000000002E-2</v>
      </c>
      <c r="D238" s="131"/>
      <c r="E238" s="132">
        <f>C238/C$240</f>
        <v>1.7152569506889617E-4</v>
      </c>
      <c r="F238" s="133"/>
      <c r="G238" s="134">
        <v>8.5999999999999993E-2</v>
      </c>
      <c r="H238" s="135"/>
      <c r="I238" s="137" t="s">
        <v>0</v>
      </c>
      <c r="J238" s="133"/>
      <c r="K238" s="50">
        <f>G238/C238*1000</f>
        <v>2606.0606060606056</v>
      </c>
      <c r="L238" s="136"/>
    </row>
    <row r="239" spans="2:12" ht="14.25" customHeight="1" thickBot="1" x14ac:dyDescent="0.25">
      <c r="B239" s="37" t="str">
        <f>$B$19</f>
        <v>Netzverluste</v>
      </c>
      <c r="C239" s="139" t="s">
        <v>0</v>
      </c>
      <c r="D239" s="140" t="s">
        <v>0</v>
      </c>
      <c r="E239" s="141" t="s">
        <v>0</v>
      </c>
      <c r="F239" s="142" t="s">
        <v>0</v>
      </c>
      <c r="G239" s="143">
        <v>25.837</v>
      </c>
      <c r="H239" s="144"/>
      <c r="I239" s="145">
        <f>G239/G240</f>
        <v>4.499502802937555E-2</v>
      </c>
      <c r="J239" s="146"/>
      <c r="K239" s="147" t="s">
        <v>0</v>
      </c>
      <c r="L239" s="148"/>
    </row>
    <row r="240" spans="2:12" ht="14.25" customHeight="1" thickTop="1" thickBot="1" x14ac:dyDescent="0.25">
      <c r="B240" s="38" t="str">
        <f>$B$20</f>
        <v>Gesamt</v>
      </c>
      <c r="C240" s="39">
        <f>SUM(C225:C238)</f>
        <v>192.39099999999999</v>
      </c>
      <c r="D240" s="40"/>
      <c r="E240" s="41">
        <f>SUM(E225:E231,E233:E238)</f>
        <v>1</v>
      </c>
      <c r="F240" s="42"/>
      <c r="G240" s="43">
        <f>SUM(G225:G231,G233:G238)</f>
        <v>574.21900000000005</v>
      </c>
      <c r="H240" s="44"/>
      <c r="I240" s="41">
        <f>J225+I231+J233</f>
        <v>0.99985023135772233</v>
      </c>
      <c r="J240" s="42"/>
      <c r="K240" s="45">
        <f>G240/C240*1000</f>
        <v>2984.6458514171663</v>
      </c>
      <c r="L240" s="46"/>
    </row>
    <row r="241" spans="2:32" ht="14.25" thickTop="1" thickBot="1" x14ac:dyDescent="0.25"/>
    <row r="242" spans="2:32" ht="19.5" customHeight="1" thickTop="1" thickBot="1" x14ac:dyDescent="0.25">
      <c r="B242" s="2" t="str">
        <f>$B$2</f>
        <v>Allgemeine Stromversorgung Deutschlands nach BDEW</v>
      </c>
      <c r="C242" s="3"/>
      <c r="D242" s="3"/>
      <c r="E242" s="4"/>
      <c r="F242" s="4"/>
      <c r="G242" s="3"/>
      <c r="H242" s="3"/>
      <c r="I242" s="4"/>
      <c r="J242" s="4"/>
      <c r="K242" s="5"/>
      <c r="L242" s="6"/>
      <c r="V242" s="2" t="str">
        <f>B242</f>
        <v>Allgemeine Stromversorgung Deutschlands nach BDEW</v>
      </c>
      <c r="W242" s="3"/>
      <c r="X242" s="3"/>
      <c r="Y242" s="4"/>
      <c r="Z242" s="4"/>
      <c r="AA242" s="3"/>
      <c r="AB242" s="3"/>
      <c r="AC242" s="4"/>
      <c r="AD242" s="4"/>
      <c r="AE242" s="5"/>
      <c r="AF242" s="6"/>
    </row>
    <row r="243" spans="2:32" ht="14.25" customHeight="1" thickTop="1" x14ac:dyDescent="0.2">
      <c r="B243" s="55">
        <v>2016</v>
      </c>
      <c r="C243" s="7" t="str">
        <f>$C$3</f>
        <v>Netto-Engpassleistung</v>
      </c>
      <c r="D243" s="8"/>
      <c r="E243" s="9"/>
      <c r="F243" s="10"/>
      <c r="G243" s="11" t="str">
        <f>$G$3</f>
        <v>Netto-Erzeugung</v>
      </c>
      <c r="H243" s="8"/>
      <c r="I243" s="9"/>
      <c r="J243" s="10"/>
      <c r="K243" s="12" t="str">
        <f>$K$3</f>
        <v>Auslastung</v>
      </c>
      <c r="L243" s="13"/>
      <c r="V243" s="53" t="str">
        <f>"Veränderung "&amp;B243&amp;" - "&amp;B223</f>
        <v>Veränderung 2016 - 2015</v>
      </c>
      <c r="W243" s="7" t="str">
        <f>C243</f>
        <v>Netto-Engpassleistung</v>
      </c>
      <c r="X243" s="8"/>
      <c r="Y243" s="9"/>
      <c r="Z243" s="10"/>
      <c r="AA243" s="11" t="str">
        <f>G243</f>
        <v>Netto-Erzeugung</v>
      </c>
      <c r="AB243" s="8"/>
      <c r="AC243" s="9"/>
      <c r="AD243" s="10"/>
      <c r="AE243" s="12" t="str">
        <f>K243</f>
        <v>Auslastung</v>
      </c>
      <c r="AF243" s="13"/>
    </row>
    <row r="244" spans="2:32" ht="14.25" customHeight="1" thickBot="1" x14ac:dyDescent="0.25">
      <c r="B244" s="56"/>
      <c r="C244" s="14" t="str">
        <f>$C$4</f>
        <v>absolut</v>
      </c>
      <c r="D244" s="15"/>
      <c r="E244" s="16" t="str">
        <f>$E$4</f>
        <v>anteilig</v>
      </c>
      <c r="F244" s="17"/>
      <c r="G244" s="18" t="str">
        <f>$G$4</f>
        <v>absolut</v>
      </c>
      <c r="H244" s="15"/>
      <c r="I244" s="19" t="str">
        <f>$I$4</f>
        <v>anteilig</v>
      </c>
      <c r="J244" s="20"/>
      <c r="K244" s="21" t="str">
        <f>$K$4</f>
        <v>einzeln</v>
      </c>
      <c r="L244" s="22" t="str">
        <f>$L$4</f>
        <v>gesamt</v>
      </c>
      <c r="V244" s="54"/>
      <c r="W244" s="14" t="str">
        <f>C244</f>
        <v>absolut</v>
      </c>
      <c r="X244" s="15"/>
      <c r="Y244" s="16" t="str">
        <f>E244</f>
        <v>anteilig</v>
      </c>
      <c r="Z244" s="17"/>
      <c r="AA244" s="18" t="str">
        <f>G244</f>
        <v>absolut</v>
      </c>
      <c r="AB244" s="15"/>
      <c r="AC244" s="19" t="str">
        <f>I244</f>
        <v>anteilig</v>
      </c>
      <c r="AD244" s="20"/>
      <c r="AE244" s="21" t="str">
        <f>K244</f>
        <v>einzeln</v>
      </c>
      <c r="AF244" s="22" t="str">
        <f>L244</f>
        <v>gesamt</v>
      </c>
    </row>
    <row r="245" spans="2:32" ht="14.25" customHeight="1" thickTop="1" x14ac:dyDescent="0.2">
      <c r="B245" s="62" t="str">
        <f>$B$5</f>
        <v>Kernenergie</v>
      </c>
      <c r="C245" s="23">
        <v>10.798999999999999</v>
      </c>
      <c r="D245" s="63">
        <f>SUM(C245:C250)</f>
        <v>90.423000000000002</v>
      </c>
      <c r="E245" s="64">
        <f>C245/C$260</f>
        <v>5.4147821396326859E-2</v>
      </c>
      <c r="F245" s="65">
        <f>SUM(E245:E250)</f>
        <v>0.45339461562367472</v>
      </c>
      <c r="G245" s="24">
        <v>80</v>
      </c>
      <c r="H245" s="66">
        <f>SUM(G245:G250)</f>
        <v>376.50000000000006</v>
      </c>
      <c r="I245" s="64">
        <f>G245/G$260</f>
        <v>0.14249860618550825</v>
      </c>
      <c r="J245" s="65">
        <f>SUM(I245:I250)</f>
        <v>0.67063406536054815</v>
      </c>
      <c r="K245" s="25">
        <f>G245/C245*1000</f>
        <v>7408.0933419761095</v>
      </c>
      <c r="L245" s="67">
        <f>H245/D245*1000</f>
        <v>4163.7636442055673</v>
      </c>
      <c r="V245" s="62" t="str">
        <f>B245</f>
        <v>Kernenergie</v>
      </c>
      <c r="W245" s="23">
        <f>C245-C225</f>
        <v>0</v>
      </c>
      <c r="X245" s="63">
        <f>D245-D225</f>
        <v>0.36800000000000921</v>
      </c>
      <c r="Y245" s="64">
        <f>E245-E225</f>
        <v>-1.9826628778855521E-3</v>
      </c>
      <c r="Z245" s="65">
        <f>F245-F225</f>
        <v>-1.468861072267208E-2</v>
      </c>
      <c r="AA245" s="24">
        <f>G245-G225</f>
        <v>-6.75</v>
      </c>
      <c r="AB245" s="66">
        <f>H245-H225</f>
        <v>-4.4699999999999704</v>
      </c>
      <c r="AC245" s="64">
        <f>I245-I225</f>
        <v>-8.5761579724175363E-3</v>
      </c>
      <c r="AD245" s="65">
        <f>J245-J225</f>
        <v>7.1763950291937606E-3</v>
      </c>
      <c r="AE245" s="25">
        <f>K245-K225</f>
        <v>-625.05787572923418</v>
      </c>
      <c r="AF245" s="67">
        <f>L245-L225</f>
        <v>-66.651102338211786</v>
      </c>
    </row>
    <row r="246" spans="2:32" ht="14.25" customHeight="1" x14ac:dyDescent="0.2">
      <c r="B246" s="51" t="str">
        <f>$B$6</f>
        <v>Braunkohle</v>
      </c>
      <c r="C246" s="26">
        <v>20.327000000000002</v>
      </c>
      <c r="D246" s="68"/>
      <c r="E246" s="69">
        <f>C246/C$260</f>
        <v>0.10192265631291195</v>
      </c>
      <c r="F246" s="70"/>
      <c r="G246" s="27">
        <v>136.47999999999999</v>
      </c>
      <c r="H246" s="71"/>
      <c r="I246" s="69">
        <f>G246/G$260</f>
        <v>0.24310262215247705</v>
      </c>
      <c r="J246" s="70"/>
      <c r="K246" s="28">
        <f>G246/C246*1000</f>
        <v>6714.222462734293</v>
      </c>
      <c r="L246" s="72"/>
      <c r="V246" s="51" t="str">
        <f>B246</f>
        <v>Braunkohle</v>
      </c>
      <c r="W246" s="26">
        <f>C246-C226</f>
        <v>-0.125</v>
      </c>
      <c r="X246" s="68">
        <f>D246</f>
        <v>0</v>
      </c>
      <c r="Y246" s="69">
        <f>E246-E226</f>
        <v>-4.3816926431203135E-3</v>
      </c>
      <c r="Z246" s="70">
        <f>F246</f>
        <v>0</v>
      </c>
      <c r="AA246" s="27">
        <f>G246-G226</f>
        <v>-4.3900000000000148</v>
      </c>
      <c r="AB246" s="71">
        <f>H246</f>
        <v>0</v>
      </c>
      <c r="AC246" s="69">
        <f>I246-I226</f>
        <v>-2.2218968899092029E-3</v>
      </c>
      <c r="AD246" s="70">
        <f>J246</f>
        <v>0</v>
      </c>
      <c r="AE246" s="28">
        <f>K246-K226</f>
        <v>-173.61246783484421</v>
      </c>
      <c r="AF246" s="72">
        <f>L246</f>
        <v>0</v>
      </c>
    </row>
    <row r="247" spans="2:32" ht="14.25" customHeight="1" x14ac:dyDescent="0.2">
      <c r="B247" s="51" t="str">
        <f>$B$7</f>
        <v>Steinkohle</v>
      </c>
      <c r="C247" s="26">
        <v>27.004999999999999</v>
      </c>
      <c r="D247" s="68"/>
      <c r="E247" s="69">
        <f>C247/C$260</f>
        <v>0.1354071596266142</v>
      </c>
      <c r="F247" s="70"/>
      <c r="G247" s="27">
        <v>98.29</v>
      </c>
      <c r="H247" s="71"/>
      <c r="I247" s="69">
        <f>G247/G$260</f>
        <v>0.17507735002467009</v>
      </c>
      <c r="J247" s="70"/>
      <c r="K247" s="28">
        <f>G247/C247*1000</f>
        <v>3639.6963525273104</v>
      </c>
      <c r="L247" s="72"/>
      <c r="V247" s="51" t="str">
        <f>B247</f>
        <v>Steinkohle</v>
      </c>
      <c r="W247" s="26">
        <f>C247-C227</f>
        <v>-0.88899999999999935</v>
      </c>
      <c r="X247" s="68">
        <f>D247</f>
        <v>0</v>
      </c>
      <c r="Y247" s="69">
        <f>E247-E227</f>
        <v>-9.5788324416218318E-3</v>
      </c>
      <c r="Z247" s="70">
        <f>F247</f>
        <v>0</v>
      </c>
      <c r="AA247" s="27">
        <f>G247-G227</f>
        <v>-9.0599999999999881</v>
      </c>
      <c r="AB247" s="71">
        <f>H247</f>
        <v>0</v>
      </c>
      <c r="AC247" s="69">
        <f>I247-I227</f>
        <v>-1.1872228446261707E-2</v>
      </c>
      <c r="AD247" s="70">
        <f>J247</f>
        <v>0</v>
      </c>
      <c r="AE247" s="28">
        <f>K247-K227</f>
        <v>-208.80153232247812</v>
      </c>
      <c r="AF247" s="72">
        <f>L247</f>
        <v>0</v>
      </c>
    </row>
    <row r="248" spans="2:32" ht="14.25" customHeight="1" x14ac:dyDescent="0.2">
      <c r="B248" s="51" t="str">
        <f>$B$8</f>
        <v>Erdgas</v>
      </c>
      <c r="C248" s="26">
        <v>24.443999999999999</v>
      </c>
      <c r="D248" s="68"/>
      <c r="E248" s="69">
        <f>C248/C$260</f>
        <v>0.1225659177897781</v>
      </c>
      <c r="F248" s="70"/>
      <c r="G248" s="27">
        <v>53.54</v>
      </c>
      <c r="H248" s="71"/>
      <c r="I248" s="69">
        <f>G248/G$260</f>
        <v>9.5367192189651395E-2</v>
      </c>
      <c r="J248" s="70"/>
      <c r="K248" s="28">
        <f>G248/C248*1000</f>
        <v>2190.3125511372937</v>
      </c>
      <c r="L248" s="72"/>
      <c r="V248" s="51" t="str">
        <f>B248</f>
        <v>Erdgas</v>
      </c>
      <c r="W248" s="26">
        <f>C248-C228</f>
        <v>1.3669999999999973</v>
      </c>
      <c r="X248" s="68">
        <f>D248</f>
        <v>0</v>
      </c>
      <c r="Y248" s="69">
        <f>E248-E228</f>
        <v>2.6174794532654588E-3</v>
      </c>
      <c r="Z248" s="70">
        <f>F248</f>
        <v>0</v>
      </c>
      <c r="AA248" s="27">
        <f>G248-G228</f>
        <v>17.810000000000002</v>
      </c>
      <c r="AB248" s="71">
        <f>H248</f>
        <v>0</v>
      </c>
      <c r="AC248" s="69">
        <f>I248-I228</f>
        <v>3.3143545810830781E-2</v>
      </c>
      <c r="AD248" s="70">
        <f>J248</f>
        <v>0</v>
      </c>
      <c r="AE248" s="28">
        <f>K248-K228</f>
        <v>642.01771212009066</v>
      </c>
      <c r="AF248" s="72">
        <f>L248</f>
        <v>0</v>
      </c>
    </row>
    <row r="249" spans="2:32" ht="14.25" customHeight="1" x14ac:dyDescent="0.2">
      <c r="B249" s="51" t="str">
        <f>$B$9</f>
        <v>Mineralöl</v>
      </c>
      <c r="C249" s="26">
        <v>4.4989999999999997</v>
      </c>
      <c r="D249" s="68"/>
      <c r="E249" s="69">
        <f>C249/C$260</f>
        <v>2.2558667326796417E-2</v>
      </c>
      <c r="F249" s="70"/>
      <c r="G249" s="27">
        <v>1.22</v>
      </c>
      <c r="H249" s="71"/>
      <c r="I249" s="69">
        <f>G249/G$260</f>
        <v>2.1731037443290008E-3</v>
      </c>
      <c r="J249" s="70"/>
      <c r="K249" s="28">
        <f>G249/C249*1000</f>
        <v>271.17137141587023</v>
      </c>
      <c r="L249" s="72"/>
      <c r="V249" s="51" t="str">
        <f>B249</f>
        <v>Mineralöl</v>
      </c>
      <c r="W249" s="26">
        <f>C249-C229</f>
        <v>-4.0000000000004476E-3</v>
      </c>
      <c r="X249" s="68">
        <f>D249</f>
        <v>0</v>
      </c>
      <c r="Y249" s="69">
        <f>E249-E229</f>
        <v>-8.4679342760477644E-4</v>
      </c>
      <c r="Z249" s="70">
        <f>F249</f>
        <v>0</v>
      </c>
      <c r="AA249" s="27">
        <f>G249-G229</f>
        <v>-0.29000000000000004</v>
      </c>
      <c r="AB249" s="71">
        <f>H249</f>
        <v>0</v>
      </c>
      <c r="AC249" s="69">
        <f>I249-I229</f>
        <v>-4.565549747311483E-4</v>
      </c>
      <c r="AD249" s="70">
        <f>J249</f>
        <v>0</v>
      </c>
      <c r="AE249" s="28">
        <f>K249-K229</f>
        <v>-64.160629472426479</v>
      </c>
      <c r="AF249" s="72">
        <f>L249</f>
        <v>0</v>
      </c>
    </row>
    <row r="250" spans="2:32" ht="14.25" customHeight="1" x14ac:dyDescent="0.2">
      <c r="B250" s="74" t="str">
        <f>$B$10</f>
        <v>sonstige</v>
      </c>
      <c r="C250" s="29">
        <v>3.3490000000000002</v>
      </c>
      <c r="D250" s="75"/>
      <c r="E250" s="76">
        <f>C250/C$260</f>
        <v>1.6792393171247214E-2</v>
      </c>
      <c r="F250" s="77"/>
      <c r="G250" s="30">
        <v>6.97</v>
      </c>
      <c r="H250" s="78"/>
      <c r="I250" s="76">
        <f>G250/G$260</f>
        <v>1.2415191063912406E-2</v>
      </c>
      <c r="J250" s="77"/>
      <c r="K250" s="31">
        <f>G250/C250*1000</f>
        <v>2081.2182741116749</v>
      </c>
      <c r="L250" s="80"/>
      <c r="V250" s="74" t="str">
        <f>B250</f>
        <v>sonstige</v>
      </c>
      <c r="W250" s="29">
        <f>C250-C230</f>
        <v>1.9000000000000128E-2</v>
      </c>
      <c r="X250" s="75">
        <f>D250</f>
        <v>0</v>
      </c>
      <c r="Y250" s="76">
        <f>E250-E230</f>
        <v>-5.1610878570503699E-4</v>
      </c>
      <c r="Z250" s="77">
        <f>F250</f>
        <v>0</v>
      </c>
      <c r="AA250" s="30">
        <f>G250-G230</f>
        <v>-1.79</v>
      </c>
      <c r="AB250" s="78">
        <f>H250</f>
        <v>0</v>
      </c>
      <c r="AC250" s="76">
        <f>I250-I230</f>
        <v>-2.8403124983173347E-3</v>
      </c>
      <c r="AD250" s="77">
        <f>J250</f>
        <v>0</v>
      </c>
      <c r="AE250" s="31">
        <f>K250-K230</f>
        <v>-549.41235651895568</v>
      </c>
      <c r="AF250" s="80">
        <f>L250</f>
        <v>0</v>
      </c>
    </row>
    <row r="251" spans="2:32" ht="14.25" customHeight="1" x14ac:dyDescent="0.2">
      <c r="B251" s="32" t="str">
        <f>$B$11</f>
        <v>Pumpspeicher</v>
      </c>
      <c r="C251" s="81">
        <v>5.71</v>
      </c>
      <c r="D251" s="82"/>
      <c r="E251" s="83">
        <f>C251/C$260</f>
        <v>2.8630804720161714E-2</v>
      </c>
      <c r="F251" s="84"/>
      <c r="G251" s="85">
        <v>5.37</v>
      </c>
      <c r="H251" s="82"/>
      <c r="I251" s="86">
        <f>G251/G$260</f>
        <v>9.565218940202241E-3</v>
      </c>
      <c r="J251" s="87"/>
      <c r="K251" s="88">
        <f>G251/C251*1000</f>
        <v>940.45534150612968</v>
      </c>
      <c r="L251" s="89"/>
      <c r="V251" s="32" t="str">
        <f>B251</f>
        <v>Pumpspeicher</v>
      </c>
      <c r="W251" s="81">
        <f>C251-C231</f>
        <v>0</v>
      </c>
      <c r="X251" s="82"/>
      <c r="Y251" s="83">
        <f>E251-E231</f>
        <v>-1.0483382750927431E-3</v>
      </c>
      <c r="Z251" s="84"/>
      <c r="AA251" s="90">
        <f>G251-G231</f>
        <v>-0.41999999999999993</v>
      </c>
      <c r="AB251" s="91">
        <f>H251-H231</f>
        <v>0</v>
      </c>
      <c r="AC251" s="83">
        <f>I251-I231</f>
        <v>-5.1804197592906012E-4</v>
      </c>
      <c r="AD251" s="92">
        <f>J251-J231</f>
        <v>0</v>
      </c>
      <c r="AE251" s="88">
        <f>K251-K231</f>
        <v>-73.555166374781038</v>
      </c>
      <c r="AF251" s="89"/>
    </row>
    <row r="252" spans="2:32" ht="14.25" customHeight="1" x14ac:dyDescent="0.2">
      <c r="B252" s="33" t="str">
        <f>$B$12</f>
        <v>Pumparbeit</v>
      </c>
      <c r="C252" s="93"/>
      <c r="D252" s="49" t="s">
        <v>25</v>
      </c>
      <c r="E252" s="94">
        <f>G251/G252</f>
        <v>0.71609547939725304</v>
      </c>
      <c r="F252" s="95"/>
      <c r="G252" s="96">
        <v>7.4989999999999997</v>
      </c>
      <c r="H252" s="97"/>
      <c r="I252" s="98">
        <f>G252/G$260</f>
        <v>1.3357463097314079E-2</v>
      </c>
      <c r="J252" s="99"/>
      <c r="K252" s="100" t="s">
        <v>0</v>
      </c>
      <c r="L252" s="101"/>
      <c r="V252" s="33" t="str">
        <f>B252</f>
        <v>Pumparbeit</v>
      </c>
      <c r="W252" s="93"/>
      <c r="X252" s="47" t="str">
        <f>D252</f>
        <v>η =</v>
      </c>
      <c r="Y252" s="94">
        <f>E252-E232</f>
        <v>-7.6545206027469614E-3</v>
      </c>
      <c r="Z252" s="95"/>
      <c r="AA252" s="102">
        <f>G252-G232</f>
        <v>-0.50100000000000033</v>
      </c>
      <c r="AB252" s="103">
        <f>H252-H232</f>
        <v>0</v>
      </c>
      <c r="AC252" s="104">
        <f>I252-I232</f>
        <v>-5.7450362618340078E-4</v>
      </c>
      <c r="AD252" s="105">
        <f>J252-J232</f>
        <v>0</v>
      </c>
      <c r="AE252" s="100" t="str">
        <f>K252</f>
        <v>–</v>
      </c>
      <c r="AF252" s="101"/>
    </row>
    <row r="253" spans="2:32" ht="14.25" customHeight="1" x14ac:dyDescent="0.2">
      <c r="B253" s="34" t="str">
        <f>$B$13</f>
        <v>Wasserkraft</v>
      </c>
      <c r="C253" s="106">
        <v>5.5670000000000002</v>
      </c>
      <c r="D253" s="107">
        <f>SUM(C253:C258)</f>
        <v>103.30254000000001</v>
      </c>
      <c r="E253" s="108">
        <f>C253/C$260</f>
        <v>2.7913781064297771E-2</v>
      </c>
      <c r="F253" s="109">
        <f>SUM(E253:E258)</f>
        <v>0.51797457965616367</v>
      </c>
      <c r="G253" s="110">
        <v>20.5</v>
      </c>
      <c r="H253" s="111">
        <f>SUM(G253:G258)</f>
        <v>179.53900000000002</v>
      </c>
      <c r="I253" s="108">
        <f>G253/G$260</f>
        <v>3.6515267835036488E-2</v>
      </c>
      <c r="J253" s="109">
        <f>SUM(I253:I258)</f>
        <v>0.31980071569924956</v>
      </c>
      <c r="K253" s="112">
        <f>G253/C253*1000</f>
        <v>3682.4142266930126</v>
      </c>
      <c r="L253" s="113">
        <f>H253/D253*1000</f>
        <v>1737.9921151987164</v>
      </c>
      <c r="V253" s="34" t="str">
        <f>B253</f>
        <v>Wasserkraft</v>
      </c>
      <c r="W253" s="106">
        <f>C253-C233</f>
        <v>9.9999999999997868E-3</v>
      </c>
      <c r="X253" s="107">
        <f>D253-D233</f>
        <v>6.676540000000017</v>
      </c>
      <c r="Y253" s="108">
        <f>E253-E233</f>
        <v>-9.7010643563726073E-4</v>
      </c>
      <c r="Z253" s="109">
        <f>F253-F233</f>
        <v>1.5736948997764899E-2</v>
      </c>
      <c r="AA253" s="110">
        <f>G253-G233</f>
        <v>1.6000000000000014</v>
      </c>
      <c r="AB253" s="111">
        <f>H253-H233</f>
        <v>-7.9199999999999875</v>
      </c>
      <c r="AC253" s="108">
        <f>I253-I233</f>
        <v>3.6009964507736983E-3</v>
      </c>
      <c r="AD253" s="109">
        <f>J253-J233</f>
        <v>-6.5085844109870616E-3</v>
      </c>
      <c r="AE253" s="112">
        <f>K253-K233</f>
        <v>281.29851677759098</v>
      </c>
      <c r="AF253" s="113">
        <f>L253-L233</f>
        <v>-202.05507706837557</v>
      </c>
    </row>
    <row r="254" spans="2:32" ht="14.25" customHeight="1" x14ac:dyDescent="0.2">
      <c r="B254" s="35" t="s">
        <v>23</v>
      </c>
      <c r="C254" s="123">
        <v>45.40372</v>
      </c>
      <c r="D254" s="115"/>
      <c r="E254" s="116">
        <f>C254/C$260</f>
        <v>0.22766112800155883</v>
      </c>
      <c r="F254" s="117"/>
      <c r="G254" s="151">
        <f>66.068/(66.068+12.106)*77.03</f>
        <v>65.101159464783692</v>
      </c>
      <c r="H254" s="119"/>
      <c r="I254" s="116">
        <f>G254/G$260</f>
        <v>0.1159603060599023</v>
      </c>
      <c r="J254" s="117"/>
      <c r="K254" s="121">
        <f>G254/C254*1000</f>
        <v>1433.8287581894983</v>
      </c>
      <c r="L254" s="122"/>
      <c r="V254" s="35" t="str">
        <f>B254</f>
        <v>Wind an Land</v>
      </c>
      <c r="W254" s="123">
        <f>C254-C234</f>
        <v>4.1627453486725869</v>
      </c>
      <c r="X254" s="115">
        <f>D254</f>
        <v>0</v>
      </c>
      <c r="Y254" s="116">
        <f>E254-E234</f>
        <v>1.3300920656478171E-2</v>
      </c>
      <c r="Z254" s="117">
        <f>F254</f>
        <v>0</v>
      </c>
      <c r="AA254" s="124">
        <f>G254-G234</f>
        <v>-14.163596090771861</v>
      </c>
      <c r="AB254" s="119">
        <f>H254</f>
        <v>0</v>
      </c>
      <c r="AC254" s="116">
        <f>I254-I234</f>
        <v>-2.2078936033367927E-2</v>
      </c>
      <c r="AD254" s="117">
        <f>J254</f>
        <v>0</v>
      </c>
      <c r="AE254" s="125">
        <f>K254-K234</f>
        <v>-488.16159789934068</v>
      </c>
      <c r="AF254" s="122">
        <f>L254</f>
        <v>0</v>
      </c>
    </row>
    <row r="255" spans="2:32" ht="14.25" customHeight="1" x14ac:dyDescent="0.2">
      <c r="B255" s="35" t="s">
        <v>24</v>
      </c>
      <c r="C255" s="123">
        <v>4.12582</v>
      </c>
      <c r="D255" s="115"/>
      <c r="E255" s="116">
        <f>C255/C$260</f>
        <v>2.0687486292563506E-2</v>
      </c>
      <c r="F255" s="117"/>
      <c r="G255" s="151">
        <f>12.106/(66.068+12.106)*77.03</f>
        <v>11.928840535216313</v>
      </c>
      <c r="H255" s="119"/>
      <c r="I255" s="116">
        <f>G255/G$260</f>
        <v>2.124803937096896E-2</v>
      </c>
      <c r="J255" s="117"/>
      <c r="K255" s="121">
        <f>G255/C255*1000</f>
        <v>2891.26538123726</v>
      </c>
      <c r="L255" s="122"/>
      <c r="V255" s="35" t="str">
        <f>B255</f>
        <v>Wind auf See</v>
      </c>
      <c r="W255" s="123">
        <f>C255-C235</f>
        <v>0.82579465132741259</v>
      </c>
      <c r="X255" s="115">
        <f>D255</f>
        <v>0</v>
      </c>
      <c r="Y255" s="116">
        <f>E255-E235</f>
        <v>3.5347850296531431E-3</v>
      </c>
      <c r="Z255" s="117">
        <f>F255</f>
        <v>0</v>
      </c>
      <c r="AA255" s="124">
        <f>G255-G235</f>
        <v>3.4825960907718692</v>
      </c>
      <c r="AB255" s="119">
        <f>H255</f>
        <v>0</v>
      </c>
      <c r="AC255" s="116">
        <f>I255-I235</f>
        <v>6.5389398036532782E-3</v>
      </c>
      <c r="AD255" s="117">
        <f>J255</f>
        <v>0</v>
      </c>
      <c r="AE255" s="125">
        <f>K255-K235</f>
        <v>331.81702795661386</v>
      </c>
      <c r="AF255" s="122">
        <f>L255</f>
        <v>0</v>
      </c>
    </row>
    <row r="256" spans="2:32" ht="14.25" customHeight="1" x14ac:dyDescent="0.2">
      <c r="B256" s="35" t="str">
        <f>$B$15</f>
        <v>Biomasse</v>
      </c>
      <c r="C256" s="128">
        <v>6.8920000000000003</v>
      </c>
      <c r="D256" s="115"/>
      <c r="E256" s="120">
        <f>C256/C$260</f>
        <v>3.4557531721778383E-2</v>
      </c>
      <c r="F256" s="117"/>
      <c r="G256" s="52">
        <v>43.71</v>
      </c>
      <c r="H256" s="119"/>
      <c r="I256" s="120">
        <f>G256/G$260</f>
        <v>7.7857675954607075E-2</v>
      </c>
      <c r="J256" s="117"/>
      <c r="K256" s="125">
        <f>G256/C256*1000</f>
        <v>6342.1358096343583</v>
      </c>
      <c r="L256" s="122"/>
      <c r="V256" s="35" t="str">
        <f>B256</f>
        <v>Biomasse</v>
      </c>
      <c r="W256" s="128">
        <f>C256-C236</f>
        <v>0.19600000000000062</v>
      </c>
      <c r="X256" s="115">
        <f>D256</f>
        <v>0</v>
      </c>
      <c r="Y256" s="120">
        <f>E256-E236</f>
        <v>-2.465911322012751E-4</v>
      </c>
      <c r="Z256" s="117">
        <f>F256</f>
        <v>0</v>
      </c>
      <c r="AA256" s="52">
        <f>G256-G236</f>
        <v>1.3800000000000026</v>
      </c>
      <c r="AB256" s="119">
        <f>H256</f>
        <v>0</v>
      </c>
      <c r="AC256" s="120">
        <f>I256-I236</f>
        <v>4.1401570289010398E-3</v>
      </c>
      <c r="AD256" s="117">
        <f>J256</f>
        <v>0</v>
      </c>
      <c r="AE256" s="125">
        <f>K256-K236</f>
        <v>20.451221820738283</v>
      </c>
      <c r="AF256" s="122">
        <f>L256</f>
        <v>0</v>
      </c>
    </row>
    <row r="257" spans="2:32" ht="14.25" customHeight="1" x14ac:dyDescent="0.2">
      <c r="B257" s="35" t="str">
        <f>$B$16</f>
        <v>Fotovoltaik</v>
      </c>
      <c r="C257" s="128">
        <v>41.274999999999999</v>
      </c>
      <c r="D257" s="115"/>
      <c r="E257" s="120">
        <f>C257/C$260</f>
        <v>0.20695910066982046</v>
      </c>
      <c r="F257" s="117"/>
      <c r="G257" s="52">
        <v>38.17</v>
      </c>
      <c r="H257" s="119"/>
      <c r="I257" s="120">
        <f>G257/G$260</f>
        <v>6.7989647476260628E-2</v>
      </c>
      <c r="J257" s="117"/>
      <c r="K257" s="125">
        <f>G257/C257*1000</f>
        <v>924.77286493034524</v>
      </c>
      <c r="L257" s="122"/>
      <c r="V257" s="35" t="str">
        <f>B257</f>
        <v>Fotovoltaik</v>
      </c>
      <c r="W257" s="128">
        <f>C257-C237</f>
        <v>1.4759999999999991</v>
      </c>
      <c r="X257" s="115">
        <f>D257</f>
        <v>0</v>
      </c>
      <c r="Y257" s="120">
        <f>E257-E237</f>
        <v>9.3914668396255507E-5</v>
      </c>
      <c r="Z257" s="117">
        <f>F257</f>
        <v>0</v>
      </c>
      <c r="AA257" s="52">
        <f>G257-G237</f>
        <v>-0.26200000000000045</v>
      </c>
      <c r="AB257" s="119">
        <f>H257</f>
        <v>0</v>
      </c>
      <c r="AC257" s="120">
        <f>I257-I237</f>
        <v>1.0604793365787263E-3</v>
      </c>
      <c r="AD257" s="117">
        <f>J257</f>
        <v>0</v>
      </c>
      <c r="AE257" s="125">
        <f>K257-K237</f>
        <v>-40.879538396371686</v>
      </c>
      <c r="AF257" s="129">
        <f>L257</f>
        <v>0</v>
      </c>
    </row>
    <row r="258" spans="2:32" ht="14.25" customHeight="1" thickBot="1" x14ac:dyDescent="0.25">
      <c r="B258" s="36" t="str">
        <f>$B$18</f>
        <v>Geothermie</v>
      </c>
      <c r="C258" s="130">
        <v>3.9E-2</v>
      </c>
      <c r="D258" s="131"/>
      <c r="E258" s="132">
        <f>C258/C$260</f>
        <v>1.9555190614471224E-4</v>
      </c>
      <c r="F258" s="133"/>
      <c r="G258" s="134">
        <v>0.129</v>
      </c>
      <c r="H258" s="135"/>
      <c r="I258" s="132">
        <f>G258/G$260</f>
        <v>2.2977900247413206E-4</v>
      </c>
      <c r="J258" s="133"/>
      <c r="K258" s="50">
        <f>G258/C258*1000</f>
        <v>3307.6923076923081</v>
      </c>
      <c r="L258" s="136"/>
      <c r="V258" s="36" t="str">
        <f>B258</f>
        <v>Geothermie</v>
      </c>
      <c r="W258" s="130">
        <f>C258-C238</f>
        <v>5.9999999999999984E-3</v>
      </c>
      <c r="X258" s="131">
        <f>D258</f>
        <v>0</v>
      </c>
      <c r="Y258" s="132">
        <f>E258-E238</f>
        <v>2.4026211075816077E-5</v>
      </c>
      <c r="Z258" s="133">
        <f>F258</f>
        <v>0</v>
      </c>
      <c r="AA258" s="134">
        <f>G258-G238</f>
        <v>4.300000000000001E-2</v>
      </c>
      <c r="AB258" s="135">
        <f>H258</f>
        <v>0</v>
      </c>
      <c r="AC258" s="137">
        <f>I258</f>
        <v>2.2977900247413206E-4</v>
      </c>
      <c r="AD258" s="133">
        <f>J258</f>
        <v>0</v>
      </c>
      <c r="AE258" s="50">
        <f>K258</f>
        <v>3307.6923076923081</v>
      </c>
      <c r="AF258" s="138">
        <f>L258</f>
        <v>0</v>
      </c>
    </row>
    <row r="259" spans="2:32" ht="14.25" customHeight="1" thickBot="1" x14ac:dyDescent="0.25">
      <c r="B259" s="37" t="str">
        <f>$B$19</f>
        <v>Netzverluste</v>
      </c>
      <c r="C259" s="139" t="s">
        <v>0</v>
      </c>
      <c r="D259" s="140" t="s">
        <v>0</v>
      </c>
      <c r="E259" s="141" t="s">
        <v>0</v>
      </c>
      <c r="F259" s="142" t="s">
        <v>0</v>
      </c>
      <c r="G259" s="143">
        <v>25.98</v>
      </c>
      <c r="H259" s="144"/>
      <c r="I259" s="145">
        <f>G259/G260</f>
        <v>4.6276422358743803E-2</v>
      </c>
      <c r="J259" s="146"/>
      <c r="K259" s="147" t="s">
        <v>0</v>
      </c>
      <c r="L259" s="148"/>
      <c r="V259" s="37" t="str">
        <f>B259</f>
        <v>Netzverluste</v>
      </c>
      <c r="W259" s="139" t="str">
        <f>C259</f>
        <v>–</v>
      </c>
      <c r="X259" s="140" t="str">
        <f>D259</f>
        <v>–</v>
      </c>
      <c r="Y259" s="141" t="str">
        <f>E259</f>
        <v>–</v>
      </c>
      <c r="Z259" s="142" t="str">
        <f>F259</f>
        <v>–</v>
      </c>
      <c r="AA259" s="143">
        <f>G259-G239</f>
        <v>0.14300000000000068</v>
      </c>
      <c r="AB259" s="144"/>
      <c r="AC259" s="145">
        <f>I259-I239</f>
        <v>1.2813943293682531E-3</v>
      </c>
      <c r="AD259" s="146"/>
      <c r="AE259" s="149" t="str">
        <f>K259</f>
        <v>–</v>
      </c>
      <c r="AF259" s="150"/>
    </row>
    <row r="260" spans="2:32" ht="14.25" customHeight="1" thickTop="1" thickBot="1" x14ac:dyDescent="0.25">
      <c r="B260" s="38" t="str">
        <f>$B$20</f>
        <v>Gesamt</v>
      </c>
      <c r="C260" s="39">
        <f>SUM(C245:C258)</f>
        <v>199.43553999999997</v>
      </c>
      <c r="D260" s="40"/>
      <c r="E260" s="41">
        <f>SUM(E245:E251,E253:E258)</f>
        <v>1</v>
      </c>
      <c r="F260" s="42"/>
      <c r="G260" s="43">
        <f>SUM(G245:G251,G253:G258)</f>
        <v>561.40899999999999</v>
      </c>
      <c r="H260" s="44"/>
      <c r="I260" s="41">
        <f>J245+I251+J253</f>
        <v>1</v>
      </c>
      <c r="J260" s="42"/>
      <c r="K260" s="45">
        <f>G260/C260*1000</f>
        <v>2814.9897455588912</v>
      </c>
      <c r="L260" s="46"/>
      <c r="V260" s="38" t="str">
        <f>B260</f>
        <v>Gesamt</v>
      </c>
      <c r="W260" s="39">
        <f>C260-C240</f>
        <v>7.0445399999999836</v>
      </c>
      <c r="X260" s="40"/>
      <c r="Y260" s="41">
        <f>E260-E240</f>
        <v>0</v>
      </c>
      <c r="Z260" s="42"/>
      <c r="AA260" s="43">
        <f>G260-G240</f>
        <v>-12.810000000000059</v>
      </c>
      <c r="AB260" s="44"/>
      <c r="AC260" s="41">
        <f>G260/G240-1</f>
        <v>-2.2308561716000486E-2</v>
      </c>
      <c r="AD260" s="42"/>
      <c r="AE260" s="45">
        <f>K260-K240</f>
        <v>-169.65610585827517</v>
      </c>
      <c r="AF260" s="46"/>
    </row>
    <row r="261" spans="2:32" ht="14.25" thickTop="1" thickBot="1" x14ac:dyDescent="0.25"/>
    <row r="262" spans="2:32" ht="19.5" customHeight="1" thickTop="1" thickBot="1" x14ac:dyDescent="0.25">
      <c r="B262" s="2" t="str">
        <f>$B$2</f>
        <v>Allgemeine Stromversorgung Deutschlands nach BDEW</v>
      </c>
      <c r="C262" s="3"/>
      <c r="D262" s="3"/>
      <c r="E262" s="4"/>
      <c r="F262" s="4"/>
      <c r="G262" s="3"/>
      <c r="H262" s="3"/>
      <c r="I262" s="4"/>
      <c r="J262" s="4"/>
      <c r="K262" s="5"/>
      <c r="L262" s="6"/>
      <c r="V262" s="2" t="str">
        <f>B262</f>
        <v>Allgemeine Stromversorgung Deutschlands nach BDEW</v>
      </c>
      <c r="W262" s="3"/>
      <c r="X262" s="3"/>
      <c r="Y262" s="4"/>
      <c r="Z262" s="4"/>
      <c r="AA262" s="3"/>
      <c r="AB262" s="3"/>
      <c r="AC262" s="4"/>
      <c r="AD262" s="4"/>
      <c r="AE262" s="5"/>
      <c r="AF262" s="6"/>
    </row>
    <row r="263" spans="2:32" ht="14.25" customHeight="1" thickTop="1" x14ac:dyDescent="0.2">
      <c r="B263" s="55">
        <v>2017</v>
      </c>
      <c r="C263" s="7" t="str">
        <f>$C$3</f>
        <v>Netto-Engpassleistung</v>
      </c>
      <c r="D263" s="8"/>
      <c r="E263" s="9"/>
      <c r="F263" s="10"/>
      <c r="G263" s="11" t="str">
        <f>$G$3</f>
        <v>Netto-Erzeugung</v>
      </c>
      <c r="H263" s="8"/>
      <c r="I263" s="9"/>
      <c r="J263" s="10"/>
      <c r="K263" s="12" t="str">
        <f>$K$3</f>
        <v>Auslastung</v>
      </c>
      <c r="L263" s="13"/>
      <c r="V263" s="53" t="str">
        <f>"Veränderung "&amp;B263&amp;" - "&amp;B243</f>
        <v>Veränderung 2017 - 2016</v>
      </c>
      <c r="W263" s="7" t="str">
        <f>C263</f>
        <v>Netto-Engpassleistung</v>
      </c>
      <c r="X263" s="8"/>
      <c r="Y263" s="9"/>
      <c r="Z263" s="10"/>
      <c r="AA263" s="11" t="str">
        <f>G263</f>
        <v>Netto-Erzeugung</v>
      </c>
      <c r="AB263" s="8"/>
      <c r="AC263" s="9"/>
      <c r="AD263" s="10"/>
      <c r="AE263" s="12" t="str">
        <f>K263</f>
        <v>Auslastung</v>
      </c>
      <c r="AF263" s="13"/>
    </row>
    <row r="264" spans="2:32" ht="14.25" customHeight="1" thickBot="1" x14ac:dyDescent="0.25">
      <c r="B264" s="56"/>
      <c r="C264" s="14" t="str">
        <f>$C$4</f>
        <v>absolut</v>
      </c>
      <c r="D264" s="15"/>
      <c r="E264" s="16" t="str">
        <f>$E$4</f>
        <v>anteilig</v>
      </c>
      <c r="F264" s="17"/>
      <c r="G264" s="18" t="str">
        <f>$G$4</f>
        <v>absolut</v>
      </c>
      <c r="H264" s="15"/>
      <c r="I264" s="19" t="str">
        <f>$I$4</f>
        <v>anteilig</v>
      </c>
      <c r="J264" s="20"/>
      <c r="K264" s="21" t="str">
        <f>$K$4</f>
        <v>einzeln</v>
      </c>
      <c r="L264" s="22" t="str">
        <f>$L$4</f>
        <v>gesamt</v>
      </c>
      <c r="V264" s="54"/>
      <c r="W264" s="14" t="str">
        <f>C264</f>
        <v>absolut</v>
      </c>
      <c r="X264" s="15"/>
      <c r="Y264" s="16" t="str">
        <f>E264</f>
        <v>anteilig</v>
      </c>
      <c r="Z264" s="17"/>
      <c r="AA264" s="18" t="str">
        <f>G264</f>
        <v>absolut</v>
      </c>
      <c r="AB264" s="15"/>
      <c r="AC264" s="19" t="str">
        <f>I264</f>
        <v>anteilig</v>
      </c>
      <c r="AD264" s="20"/>
      <c r="AE264" s="21" t="str">
        <f>K264</f>
        <v>einzeln</v>
      </c>
      <c r="AF264" s="22" t="str">
        <f>L264</f>
        <v>gesamt</v>
      </c>
    </row>
    <row r="265" spans="2:32" ht="14.25" customHeight="1" thickTop="1" x14ac:dyDescent="0.2">
      <c r="B265" s="62" t="str">
        <f>$B$5</f>
        <v>Kernenergie</v>
      </c>
      <c r="C265" s="23">
        <v>10.798999999999999</v>
      </c>
      <c r="D265" s="63">
        <f>SUM(C265:C270)</f>
        <v>87.853999999999999</v>
      </c>
      <c r="E265" s="64">
        <f>C265/C$280</f>
        <v>5.2661864890302022E-2</v>
      </c>
      <c r="F265" s="65">
        <f>SUM(E265:E270)</f>
        <v>0.42842443541740838</v>
      </c>
      <c r="G265" s="24">
        <v>72.135000000000005</v>
      </c>
      <c r="H265" s="66">
        <f>SUM(G265:G270)</f>
        <v>354.03099999999995</v>
      </c>
      <c r="I265" s="64">
        <f>G265/G$280</f>
        <v>0.12686043505558228</v>
      </c>
      <c r="J265" s="65">
        <f>SUM(I265:I270)</f>
        <v>0.62261768466296319</v>
      </c>
      <c r="K265" s="25">
        <f>G265/C265*1000</f>
        <v>6679.7851652930831</v>
      </c>
      <c r="L265" s="67">
        <f>H265/D265*1000</f>
        <v>4029.7652924169638</v>
      </c>
      <c r="V265" s="62" t="str">
        <f>B265</f>
        <v>Kernenergie</v>
      </c>
      <c r="W265" s="23">
        <f>C265-C245</f>
        <v>0</v>
      </c>
      <c r="X265" s="63">
        <f>D265-D245</f>
        <v>-2.5690000000000026</v>
      </c>
      <c r="Y265" s="64">
        <f>E265-E245</f>
        <v>-1.4859565060248367E-3</v>
      </c>
      <c r="Z265" s="65">
        <f>F265-F245</f>
        <v>-2.4970180206266346E-2</v>
      </c>
      <c r="AA265" s="24">
        <f>G265-G245</f>
        <v>-7.8649999999999949</v>
      </c>
      <c r="AB265" s="66">
        <f>H265-H245</f>
        <v>-22.469000000000108</v>
      </c>
      <c r="AC265" s="64">
        <f>I265-I245</f>
        <v>-1.5638171129925965E-2</v>
      </c>
      <c r="AD265" s="65">
        <f>J265-J245</f>
        <v>-4.8016380697584959E-2</v>
      </c>
      <c r="AE265" s="25">
        <f>K265-K245</f>
        <v>-728.30817668302643</v>
      </c>
      <c r="AF265" s="67">
        <f>L265-L245</f>
        <v>-133.99835178860349</v>
      </c>
    </row>
    <row r="266" spans="2:32" ht="14.25" customHeight="1" x14ac:dyDescent="0.2">
      <c r="B266" s="51" t="str">
        <f>$B$6</f>
        <v>Braunkohle</v>
      </c>
      <c r="C266" s="26">
        <v>20.327000000000002</v>
      </c>
      <c r="D266" s="68"/>
      <c r="E266" s="69">
        <f>C266/C$280</f>
        <v>9.912563456108614E-2</v>
      </c>
      <c r="F266" s="70"/>
      <c r="G266" s="27">
        <v>133.94499999999999</v>
      </c>
      <c r="H266" s="71"/>
      <c r="I266" s="69">
        <f>G266/G$280</f>
        <v>0.2355627777572602</v>
      </c>
      <c r="J266" s="70"/>
      <c r="K266" s="28">
        <f>G266/C266*1000</f>
        <v>6589.5114871845317</v>
      </c>
      <c r="L266" s="72"/>
      <c r="V266" s="51" t="str">
        <f>B266</f>
        <v>Braunkohle</v>
      </c>
      <c r="W266" s="26">
        <f>C266-C246</f>
        <v>0</v>
      </c>
      <c r="X266" s="68">
        <f>D266</f>
        <v>0</v>
      </c>
      <c r="Y266" s="69">
        <f>E266-E246</f>
        <v>-2.7970217518258067E-3</v>
      </c>
      <c r="Z266" s="70">
        <f>F266</f>
        <v>0</v>
      </c>
      <c r="AA266" s="27">
        <f>G266-G246</f>
        <v>-2.5349999999999966</v>
      </c>
      <c r="AB266" s="71">
        <f>H266</f>
        <v>0</v>
      </c>
      <c r="AC266" s="69">
        <f>I266-I246</f>
        <v>-7.5398443952168492E-3</v>
      </c>
      <c r="AD266" s="70">
        <f>J266</f>
        <v>0</v>
      </c>
      <c r="AE266" s="28">
        <f>K266-K246</f>
        <v>-124.71097554976132</v>
      </c>
      <c r="AF266" s="72">
        <f>L266</f>
        <v>0</v>
      </c>
    </row>
    <row r="267" spans="2:32" ht="14.25" customHeight="1" x14ac:dyDescent="0.2">
      <c r="B267" s="51" t="str">
        <f>$B$7</f>
        <v>Steinkohle</v>
      </c>
      <c r="C267" s="26">
        <v>24.695</v>
      </c>
      <c r="D267" s="68"/>
      <c r="E267" s="69">
        <f>C267/C$280</f>
        <v>0.12042640554366223</v>
      </c>
      <c r="F267" s="70"/>
      <c r="G267" s="27">
        <v>81.733999999999995</v>
      </c>
      <c r="H267" s="71"/>
      <c r="I267" s="69">
        <f>G267/G$280</f>
        <v>0.14374174532242268</v>
      </c>
      <c r="J267" s="70"/>
      <c r="K267" s="28">
        <f>G267/C267*1000</f>
        <v>3309.7388135250048</v>
      </c>
      <c r="L267" s="72"/>
      <c r="V267" s="51" t="str">
        <f>B267</f>
        <v>Steinkohle</v>
      </c>
      <c r="W267" s="26">
        <f>C267-C247</f>
        <v>-2.3099999999999987</v>
      </c>
      <c r="X267" s="68">
        <f>D267</f>
        <v>0</v>
      </c>
      <c r="Y267" s="69">
        <f>E267-E247</f>
        <v>-1.4980754082951978E-2</v>
      </c>
      <c r="Z267" s="70">
        <f>F267</f>
        <v>0</v>
      </c>
      <c r="AA267" s="27">
        <f>G267-G247</f>
        <v>-16.556000000000012</v>
      </c>
      <c r="AB267" s="71">
        <f>H267</f>
        <v>0</v>
      </c>
      <c r="AC267" s="69">
        <f>I267-I247</f>
        <v>-3.1335604702247416E-2</v>
      </c>
      <c r="AD267" s="70">
        <f>J267</f>
        <v>0</v>
      </c>
      <c r="AE267" s="28">
        <f>K267-K247</f>
        <v>-329.95753900230557</v>
      </c>
      <c r="AF267" s="72">
        <f>L267</f>
        <v>0</v>
      </c>
    </row>
    <row r="268" spans="2:32" ht="14.25" customHeight="1" x14ac:dyDescent="0.2">
      <c r="B268" s="51" t="str">
        <f>$B$8</f>
        <v>Erdgas</v>
      </c>
      <c r="C268" s="26">
        <v>24.437999999999999</v>
      </c>
      <c r="D268" s="68"/>
      <c r="E268" s="69">
        <f>C268/C$280</f>
        <v>0.1191731321593852</v>
      </c>
      <c r="F268" s="70"/>
      <c r="G268" s="27">
        <v>57.993000000000002</v>
      </c>
      <c r="H268" s="71"/>
      <c r="I268" s="69">
        <f>G268/G$280</f>
        <v>0.10198956415302395</v>
      </c>
      <c r="J268" s="70"/>
      <c r="K268" s="28">
        <f>G268/C268*1000</f>
        <v>2373.0665357230546</v>
      </c>
      <c r="L268" s="72"/>
      <c r="V268" s="51" t="str">
        <f>B268</f>
        <v>Erdgas</v>
      </c>
      <c r="W268" s="26">
        <f>C268-C248</f>
        <v>-6.0000000000002274E-3</v>
      </c>
      <c r="X268" s="68">
        <f>D268</f>
        <v>0</v>
      </c>
      <c r="Y268" s="69">
        <f>E268-E248</f>
        <v>-3.3927856303928999E-3</v>
      </c>
      <c r="Z268" s="70">
        <f>F268</f>
        <v>0</v>
      </c>
      <c r="AA268" s="27">
        <f>G268-G248</f>
        <v>4.453000000000003</v>
      </c>
      <c r="AB268" s="71">
        <f>H268</f>
        <v>0</v>
      </c>
      <c r="AC268" s="69">
        <f>I268-I248</f>
        <v>6.6223719633725503E-3</v>
      </c>
      <c r="AD268" s="70">
        <f>J268</f>
        <v>0</v>
      </c>
      <c r="AE268" s="28">
        <f>K268-K248</f>
        <v>182.75398458576092</v>
      </c>
      <c r="AF268" s="72">
        <f>L268</f>
        <v>0</v>
      </c>
    </row>
    <row r="269" spans="2:32" ht="14.25" customHeight="1" x14ac:dyDescent="0.2">
      <c r="B269" s="51" t="s">
        <v>28</v>
      </c>
      <c r="C269" s="26">
        <v>4.2450000000000001</v>
      </c>
      <c r="D269" s="68"/>
      <c r="E269" s="69">
        <f>C269/C$280</f>
        <v>2.0700955316171134E-2</v>
      </c>
      <c r="F269" s="70"/>
      <c r="G269" s="27">
        <v>1.2270000000000001</v>
      </c>
      <c r="H269" s="71"/>
      <c r="I269" s="69">
        <f>G269/G$280</f>
        <v>2.1578672463187002E-3</v>
      </c>
      <c r="J269" s="70"/>
      <c r="K269" s="73">
        <f>(G269+G270)/C269*1000</f>
        <v>1937.3380447585396</v>
      </c>
      <c r="L269" s="72"/>
      <c r="V269" s="51" t="str">
        <f>B269</f>
        <v>Mineralöl</v>
      </c>
      <c r="W269" s="26">
        <f>C269-C249</f>
        <v>-0.25399999999999956</v>
      </c>
      <c r="X269" s="68">
        <f>D269</f>
        <v>0</v>
      </c>
      <c r="Y269" s="69">
        <f>E269-E249</f>
        <v>-1.8577120106252829E-3</v>
      </c>
      <c r="Z269" s="70">
        <f>F269</f>
        <v>0</v>
      </c>
      <c r="AA269" s="27">
        <f>G269-G249</f>
        <v>7.0000000000001172E-3</v>
      </c>
      <c r="AB269" s="71">
        <f>H269</f>
        <v>0</v>
      </c>
      <c r="AC269" s="69">
        <f>I269-I249</f>
        <v>-1.5236498010300602E-5</v>
      </c>
      <c r="AD269" s="70">
        <f>J269</f>
        <v>0</v>
      </c>
      <c r="AE269" s="28">
        <f>K269-K249</f>
        <v>1666.1666733426694</v>
      </c>
      <c r="AF269" s="72">
        <f>L269</f>
        <v>0</v>
      </c>
    </row>
    <row r="270" spans="2:32" ht="14.25" customHeight="1" x14ac:dyDescent="0.2">
      <c r="B270" s="74" t="str">
        <f>$B$10</f>
        <v>sonstige</v>
      </c>
      <c r="C270" s="29">
        <v>3.35</v>
      </c>
      <c r="D270" s="75"/>
      <c r="E270" s="76">
        <f>C270/C$280</f>
        <v>1.633644294680172E-2</v>
      </c>
      <c r="F270" s="77"/>
      <c r="G270" s="30">
        <v>6.9969999999999999</v>
      </c>
      <c r="H270" s="78"/>
      <c r="I270" s="76">
        <f>G270/G$280</f>
        <v>1.2305295128355292E-2</v>
      </c>
      <c r="J270" s="77"/>
      <c r="K270" s="79"/>
      <c r="L270" s="80"/>
      <c r="V270" s="74" t="str">
        <f>B270</f>
        <v>sonstige</v>
      </c>
      <c r="W270" s="29">
        <f>C270-C250</f>
        <v>9.9999999999988987E-4</v>
      </c>
      <c r="X270" s="75">
        <f>D270</f>
        <v>0</v>
      </c>
      <c r="Y270" s="76">
        <f>E270-E250</f>
        <v>-4.5595022444549355E-4</v>
      </c>
      <c r="Z270" s="77">
        <f>F270</f>
        <v>0</v>
      </c>
      <c r="AA270" s="30">
        <f>G270-G250</f>
        <v>2.7000000000000135E-2</v>
      </c>
      <c r="AB270" s="78">
        <f>H270</f>
        <v>0</v>
      </c>
      <c r="AC270" s="76">
        <f>I270-I250</f>
        <v>-1.0989593555711316E-4</v>
      </c>
      <c r="AD270" s="77">
        <f>J270</f>
        <v>0</v>
      </c>
      <c r="AE270" s="31">
        <f>K270-K250</f>
        <v>-2081.2182741116749</v>
      </c>
      <c r="AF270" s="80">
        <f>L270</f>
        <v>0</v>
      </c>
    </row>
    <row r="271" spans="2:32" ht="14.25" customHeight="1" x14ac:dyDescent="0.2">
      <c r="B271" s="32" t="str">
        <f>$B$11</f>
        <v>Pumpspeicher</v>
      </c>
      <c r="C271" s="81">
        <v>5.71</v>
      </c>
      <c r="D271" s="82"/>
      <c r="E271" s="83">
        <f>C271/C$280</f>
        <v>2.7845101261563528E-2</v>
      </c>
      <c r="F271" s="84"/>
      <c r="G271" s="85">
        <v>5.835</v>
      </c>
      <c r="H271" s="82"/>
      <c r="I271" s="86">
        <f>G271/G$280</f>
        <v>1.0261740327848098E-2</v>
      </c>
      <c r="J271" s="87"/>
      <c r="K271" s="88">
        <f>G271/C271*1000</f>
        <v>1021.8914185639229</v>
      </c>
      <c r="L271" s="89"/>
      <c r="V271" s="32" t="str">
        <f>B271</f>
        <v>Pumpspeicher</v>
      </c>
      <c r="W271" s="81">
        <f>C271-C251</f>
        <v>0</v>
      </c>
      <c r="X271" s="82"/>
      <c r="Y271" s="83">
        <f>E271-E251</f>
        <v>-7.8570345859818591E-4</v>
      </c>
      <c r="Z271" s="84"/>
      <c r="AA271" s="90">
        <f>G271-G251</f>
        <v>0.46499999999999986</v>
      </c>
      <c r="AB271" s="91">
        <f>H271-H251</f>
        <v>0</v>
      </c>
      <c r="AC271" s="83">
        <f>I271-I251</f>
        <v>6.9652138764585668E-4</v>
      </c>
      <c r="AD271" s="92">
        <f>J271-J251</f>
        <v>0</v>
      </c>
      <c r="AE271" s="88">
        <f>K271-K251</f>
        <v>81.436077057793227</v>
      </c>
      <c r="AF271" s="89"/>
    </row>
    <row r="272" spans="2:32" ht="14.25" customHeight="1" x14ac:dyDescent="0.2">
      <c r="B272" s="33" t="str">
        <f>$B$12</f>
        <v>Pumparbeit</v>
      </c>
      <c r="C272" s="93"/>
      <c r="D272" s="49" t="s">
        <v>25</v>
      </c>
      <c r="E272" s="94">
        <f>G271/G272</f>
        <v>0.70658755146524588</v>
      </c>
      <c r="F272" s="95"/>
      <c r="G272" s="96">
        <v>8.2579999999999991</v>
      </c>
      <c r="H272" s="97"/>
      <c r="I272" s="98">
        <f>G272/G$280</f>
        <v>1.4522956577098472E-2</v>
      </c>
      <c r="J272" s="99"/>
      <c r="K272" s="100" t="s">
        <v>0</v>
      </c>
      <c r="L272" s="101"/>
      <c r="V272" s="33" t="str">
        <f>B272</f>
        <v>Pumparbeit</v>
      </c>
      <c r="W272" s="93"/>
      <c r="X272" s="47" t="str">
        <f>D272</f>
        <v>η =</v>
      </c>
      <c r="Y272" s="94">
        <f>E272-E252</f>
        <v>-9.5079279320071652E-3</v>
      </c>
      <c r="Z272" s="95"/>
      <c r="AA272" s="102">
        <f>G272-G252</f>
        <v>0.75899999999999945</v>
      </c>
      <c r="AB272" s="103">
        <f>H272-H252</f>
        <v>0</v>
      </c>
      <c r="AC272" s="104">
        <f>I272-I252</f>
        <v>1.1654934797843929E-3</v>
      </c>
      <c r="AD272" s="105">
        <f>J272-J252</f>
        <v>0</v>
      </c>
      <c r="AE272" s="100" t="str">
        <f>K272</f>
        <v>–</v>
      </c>
      <c r="AF272" s="101"/>
    </row>
    <row r="273" spans="2:32" ht="14.25" customHeight="1" x14ac:dyDescent="0.2">
      <c r="B273" s="34" t="str">
        <f>$B$13</f>
        <v>Wasserkraft</v>
      </c>
      <c r="C273" s="106">
        <v>5.57</v>
      </c>
      <c r="D273" s="107">
        <f>SUM(C273:C278)</f>
        <v>111.499</v>
      </c>
      <c r="E273" s="108">
        <f>C273/C$280</f>
        <v>2.7162384242891219E-2</v>
      </c>
      <c r="F273" s="109">
        <f>SUM(E273:E278)</f>
        <v>0.54373046332102837</v>
      </c>
      <c r="G273" s="110">
        <v>19.821999999999999</v>
      </c>
      <c r="H273" s="111">
        <f>SUM(G273:G278)</f>
        <v>208.75099999999998</v>
      </c>
      <c r="I273" s="108">
        <f>G273/G$280</f>
        <v>3.4860020013471292E-2</v>
      </c>
      <c r="J273" s="109">
        <f>SUM(I273:I278)</f>
        <v>0.36712057500918899</v>
      </c>
      <c r="K273" s="112">
        <f>G273/C273*1000</f>
        <v>3558.7073608617593</v>
      </c>
      <c r="L273" s="113">
        <f>H273/D273*1000</f>
        <v>1872.2230692651951</v>
      </c>
      <c r="V273" s="34" t="str">
        <f>B273</f>
        <v>Wasserkraft</v>
      </c>
      <c r="W273" s="106">
        <f>C273-C253</f>
        <v>3.0000000000001137E-3</v>
      </c>
      <c r="X273" s="107">
        <f>D273-D253</f>
        <v>8.1964599999999876</v>
      </c>
      <c r="Y273" s="108">
        <f>E273-E253</f>
        <v>-7.5139682140655181E-4</v>
      </c>
      <c r="Z273" s="109">
        <f>F273-F253</f>
        <v>2.5755883664864698E-2</v>
      </c>
      <c r="AA273" s="110">
        <f>G273-G253</f>
        <v>-0.67800000000000082</v>
      </c>
      <c r="AB273" s="111">
        <f>H273-H253</f>
        <v>29.211999999999961</v>
      </c>
      <c r="AC273" s="108">
        <f>I273-I253</f>
        <v>-1.6552478215651964E-3</v>
      </c>
      <c r="AD273" s="109">
        <f>J273-J253</f>
        <v>4.7319859309939427E-2</v>
      </c>
      <c r="AE273" s="112">
        <f>K273-K253</f>
        <v>-123.70686583125325</v>
      </c>
      <c r="AF273" s="113">
        <f>L273-L253</f>
        <v>134.23095406647872</v>
      </c>
    </row>
    <row r="274" spans="2:32" ht="14.25" customHeight="1" x14ac:dyDescent="0.2">
      <c r="B274" s="35" t="str">
        <f>$B$134</f>
        <v>Wind an Land</v>
      </c>
      <c r="C274" s="123">
        <f>49.404/(49.404+4.912)*55.68</f>
        <v>50.644648354076146</v>
      </c>
      <c r="D274" s="115"/>
      <c r="E274" s="116">
        <f>C274/C$280</f>
        <v>0.24697116668573152</v>
      </c>
      <c r="F274" s="117"/>
      <c r="G274" s="151">
        <f>104.603*85.2362477500003/(85.2362477500003+17.41881125)</f>
        <v>86.853656412522781</v>
      </c>
      <c r="H274" s="119"/>
      <c r="I274" s="120">
        <f>G274/G$280</f>
        <v>0.15274544449519237</v>
      </c>
      <c r="J274" s="117"/>
      <c r="K274" s="121">
        <f>G274/C274*1000</f>
        <v>1714.962177351802</v>
      </c>
      <c r="L274" s="122"/>
      <c r="V274" s="35" t="str">
        <f>B274</f>
        <v>Wind an Land</v>
      </c>
      <c r="W274" s="123">
        <f>C274-C254</f>
        <v>5.2409283540761464</v>
      </c>
      <c r="X274" s="115">
        <f>D274</f>
        <v>0</v>
      </c>
      <c r="Y274" s="116">
        <f>E274-E254</f>
        <v>1.9310038684172692E-2</v>
      </c>
      <c r="Z274" s="117">
        <f>F274</f>
        <v>0</v>
      </c>
      <c r="AA274" s="124">
        <f>G274-G254</f>
        <v>21.75249694773909</v>
      </c>
      <c r="AB274" s="119">
        <f>H274</f>
        <v>0</v>
      </c>
      <c r="AC274" s="116">
        <f>I274-I254</f>
        <v>3.6785138435290063E-2</v>
      </c>
      <c r="AD274" s="117">
        <f>J274</f>
        <v>0</v>
      </c>
      <c r="AE274" s="125">
        <f>K274-K254</f>
        <v>281.13341916230365</v>
      </c>
      <c r="AF274" s="122">
        <f>L274</f>
        <v>0</v>
      </c>
    </row>
    <row r="275" spans="2:32" ht="14.25" customHeight="1" x14ac:dyDescent="0.2">
      <c r="B275" s="35" t="str">
        <f>$B$135</f>
        <v>Wind auf See</v>
      </c>
      <c r="C275" s="123">
        <f>4.912/(49.404+4.912)*55.68</f>
        <v>5.0353516459238525</v>
      </c>
      <c r="D275" s="115"/>
      <c r="E275" s="116">
        <f>C275/C$280</f>
        <v>2.455514474051318E-2</v>
      </c>
      <c r="F275" s="117"/>
      <c r="G275" s="151">
        <f>104.603*17.41881125/(85.2362477500003+17.41881125)</f>
        <v>17.74934358747721</v>
      </c>
      <c r="H275" s="119"/>
      <c r="I275" s="120">
        <f>G275/G$280</f>
        <v>3.1214936569742401E-2</v>
      </c>
      <c r="J275" s="117"/>
      <c r="K275" s="121">
        <f>G275/C275*1000</f>
        <v>3524.9461875905745</v>
      </c>
      <c r="L275" s="122"/>
      <c r="V275" s="35" t="str">
        <f>B275</f>
        <v>Wind auf See</v>
      </c>
      <c r="W275" s="123">
        <f>C275-C255</f>
        <v>0.90953164592385249</v>
      </c>
      <c r="X275" s="115">
        <f>D275</f>
        <v>0</v>
      </c>
      <c r="Y275" s="116">
        <f>E275-E255</f>
        <v>3.8676584479496734E-3</v>
      </c>
      <c r="Z275" s="117">
        <f>F275</f>
        <v>0</v>
      </c>
      <c r="AA275" s="124">
        <f>G275-G255</f>
        <v>5.8205030522608965</v>
      </c>
      <c r="AB275" s="119">
        <f>H275</f>
        <v>0</v>
      </c>
      <c r="AC275" s="116">
        <f>I275-I255</f>
        <v>9.966897198773441E-3</v>
      </c>
      <c r="AD275" s="117">
        <f>J275</f>
        <v>0</v>
      </c>
      <c r="AE275" s="125">
        <f>K275-K255</f>
        <v>633.68080635331444</v>
      </c>
      <c r="AF275" s="122">
        <f>L275</f>
        <v>0</v>
      </c>
    </row>
    <row r="276" spans="2:32" ht="14.25" customHeight="1" x14ac:dyDescent="0.2">
      <c r="B276" s="35" t="str">
        <f>$B$15</f>
        <v>Biomasse</v>
      </c>
      <c r="C276" s="128">
        <v>6.91</v>
      </c>
      <c r="D276" s="115"/>
      <c r="E276" s="120">
        <f>C276/C$280</f>
        <v>3.369696142161191E-2</v>
      </c>
      <c r="F276" s="117"/>
      <c r="G276" s="52">
        <v>44.284999999999997</v>
      </c>
      <c r="H276" s="119"/>
      <c r="I276" s="120">
        <f>G276/G$280</f>
        <v>7.7881948657883962E-2</v>
      </c>
      <c r="J276" s="117"/>
      <c r="K276" s="125">
        <f>G276/C276*1000</f>
        <v>6408.8277858176552</v>
      </c>
      <c r="L276" s="122"/>
      <c r="V276" s="35" t="str">
        <f>B276</f>
        <v>Biomasse</v>
      </c>
      <c r="W276" s="128">
        <f>C276-C256</f>
        <v>1.7999999999999794E-2</v>
      </c>
      <c r="X276" s="115">
        <f>D276</f>
        <v>0</v>
      </c>
      <c r="Y276" s="120">
        <f>E276-E256</f>
        <v>-8.6057030016647301E-4</v>
      </c>
      <c r="Z276" s="117">
        <f>F276</f>
        <v>0</v>
      </c>
      <c r="AA276" s="52">
        <f>G276-G256</f>
        <v>0.57499999999999574</v>
      </c>
      <c r="AB276" s="119">
        <f>H276</f>
        <v>0</v>
      </c>
      <c r="AC276" s="120">
        <f>I276-I256</f>
        <v>2.4272703276886909E-5</v>
      </c>
      <c r="AD276" s="117">
        <f>J276</f>
        <v>0</v>
      </c>
      <c r="AE276" s="125">
        <f>K276-K256</f>
        <v>66.691976183296902</v>
      </c>
      <c r="AF276" s="122">
        <f>L276</f>
        <v>0</v>
      </c>
    </row>
    <row r="277" spans="2:32" ht="14.25" customHeight="1" x14ac:dyDescent="0.2">
      <c r="B277" s="35" t="str">
        <f>$B$16</f>
        <v>Fotovoltaik</v>
      </c>
      <c r="C277" s="128">
        <v>43.3</v>
      </c>
      <c r="D277" s="115"/>
      <c r="E277" s="120">
        <f>C277/C$280</f>
        <v>0.21115462077507893</v>
      </c>
      <c r="F277" s="117"/>
      <c r="G277" s="52">
        <v>39.895000000000003</v>
      </c>
      <c r="H277" s="119"/>
      <c r="I277" s="120">
        <f>G277/G$280</f>
        <v>7.0161461933076236E-2</v>
      </c>
      <c r="J277" s="117"/>
      <c r="K277" s="125">
        <f>G277/C277*1000</f>
        <v>921.36258660508099</v>
      </c>
      <c r="L277" s="122"/>
      <c r="V277" s="35" t="str">
        <f>B277</f>
        <v>Fotovoltaik</v>
      </c>
      <c r="W277" s="128">
        <f>C277-C257</f>
        <v>2.0249999999999986</v>
      </c>
      <c r="X277" s="115">
        <f>D277</f>
        <v>0</v>
      </c>
      <c r="Y277" s="120">
        <f>E277-E257</f>
        <v>4.1955201052584767E-3</v>
      </c>
      <c r="Z277" s="117">
        <f>F277</f>
        <v>0</v>
      </c>
      <c r="AA277" s="52">
        <f>G277-G257</f>
        <v>1.7250000000000014</v>
      </c>
      <c r="AB277" s="119">
        <f>H277</f>
        <v>0</v>
      </c>
      <c r="AC277" s="120">
        <f>I277-I257</f>
        <v>2.1718144568156073E-3</v>
      </c>
      <c r="AD277" s="117">
        <f>J277</f>
        <v>0</v>
      </c>
      <c r="AE277" s="125">
        <f>K277-K257</f>
        <v>-3.4102783252642439</v>
      </c>
      <c r="AF277" s="129">
        <f>L277</f>
        <v>0</v>
      </c>
    </row>
    <row r="278" spans="2:32" ht="14.25" customHeight="1" thickBot="1" x14ac:dyDescent="0.25">
      <c r="B278" s="36" t="str">
        <f>$B$18</f>
        <v>Geothermie</v>
      </c>
      <c r="C278" s="130">
        <v>3.9E-2</v>
      </c>
      <c r="D278" s="131"/>
      <c r="E278" s="132">
        <f>C278/C$280</f>
        <v>1.9018545520157226E-4</v>
      </c>
      <c r="F278" s="133"/>
      <c r="G278" s="134">
        <v>0.14599999999999999</v>
      </c>
      <c r="H278" s="135"/>
      <c r="I278" s="132">
        <f>G278/G$280</f>
        <v>2.56763339822763E-4</v>
      </c>
      <c r="J278" s="133"/>
      <c r="K278" s="50">
        <f>G278/C278*1000</f>
        <v>3743.5897435897432</v>
      </c>
      <c r="L278" s="136"/>
      <c r="V278" s="36" t="str">
        <f>B278</f>
        <v>Geothermie</v>
      </c>
      <c r="W278" s="130">
        <f>C278-C258</f>
        <v>0</v>
      </c>
      <c r="X278" s="131">
        <f>D278</f>
        <v>0</v>
      </c>
      <c r="Y278" s="132">
        <f>E278-E258</f>
        <v>-5.3664509431399822E-6</v>
      </c>
      <c r="Z278" s="133">
        <f>F278</f>
        <v>0</v>
      </c>
      <c r="AA278" s="134">
        <f>G278-G258</f>
        <v>1.6999999999999987E-2</v>
      </c>
      <c r="AB278" s="135">
        <f>H278</f>
        <v>0</v>
      </c>
      <c r="AC278" s="137">
        <f>I278</f>
        <v>2.56763339822763E-4</v>
      </c>
      <c r="AD278" s="133">
        <f>J278</f>
        <v>0</v>
      </c>
      <c r="AE278" s="50">
        <f>K278</f>
        <v>3743.5897435897432</v>
      </c>
      <c r="AF278" s="138">
        <f>L278</f>
        <v>0</v>
      </c>
    </row>
    <row r="279" spans="2:32" ht="14.25" customHeight="1" thickBot="1" x14ac:dyDescent="0.25">
      <c r="B279" s="37" t="str">
        <f>$B$19</f>
        <v>Netzverluste</v>
      </c>
      <c r="C279" s="139" t="s">
        <v>0</v>
      </c>
      <c r="D279" s="140" t="s">
        <v>0</v>
      </c>
      <c r="E279" s="141" t="s">
        <v>0</v>
      </c>
      <c r="F279" s="142" t="s">
        <v>0</v>
      </c>
      <c r="G279" s="143">
        <v>27.053999999999998</v>
      </c>
      <c r="H279" s="144"/>
      <c r="I279" s="145">
        <f>G279/G280</f>
        <v>4.7578598599760484E-2</v>
      </c>
      <c r="J279" s="146"/>
      <c r="K279" s="147" t="s">
        <v>0</v>
      </c>
      <c r="L279" s="148"/>
      <c r="V279" s="37" t="str">
        <f>B279</f>
        <v>Netzverluste</v>
      </c>
      <c r="W279" s="139" t="str">
        <f>C279</f>
        <v>–</v>
      </c>
      <c r="X279" s="140" t="str">
        <f>D279</f>
        <v>–</v>
      </c>
      <c r="Y279" s="141" t="str">
        <f>E279</f>
        <v>–</v>
      </c>
      <c r="Z279" s="142" t="str">
        <f>F279</f>
        <v>–</v>
      </c>
      <c r="AA279" s="143">
        <f>G279-G259</f>
        <v>1.0739999999999981</v>
      </c>
      <c r="AB279" s="144"/>
      <c r="AC279" s="145">
        <f>I279-I259</f>
        <v>1.3021762410166809E-3</v>
      </c>
      <c r="AD279" s="146"/>
      <c r="AE279" s="149" t="str">
        <f>K279</f>
        <v>–</v>
      </c>
      <c r="AF279" s="150"/>
    </row>
    <row r="280" spans="2:32" ht="14.25" customHeight="1" thickTop="1" thickBot="1" x14ac:dyDescent="0.25">
      <c r="B280" s="38" t="str">
        <f>$B$20</f>
        <v>Gesamt</v>
      </c>
      <c r="C280" s="39">
        <f>SUM(C265:C278)</f>
        <v>205.06299999999993</v>
      </c>
      <c r="D280" s="40"/>
      <c r="E280" s="41">
        <f>SUM(E265:E271,E273:E278)</f>
        <v>1.0000000000000004</v>
      </c>
      <c r="F280" s="42"/>
      <c r="G280" s="43">
        <f>SUM(G265:G271,G273:G278)</f>
        <v>568.61699999999985</v>
      </c>
      <c r="H280" s="44"/>
      <c r="I280" s="41">
        <f>J265+I271+J273</f>
        <v>1.0000000000000002</v>
      </c>
      <c r="J280" s="42"/>
      <c r="K280" s="45">
        <f>G280/C280*1000</f>
        <v>2772.8893071885227</v>
      </c>
      <c r="L280" s="46"/>
      <c r="V280" s="38" t="str">
        <f>B280</f>
        <v>Gesamt</v>
      </c>
      <c r="W280" s="39">
        <f>C280-C260</f>
        <v>5.6274599999999566</v>
      </c>
      <c r="X280" s="40"/>
      <c r="Y280" s="41">
        <f>E280-E260</f>
        <v>0</v>
      </c>
      <c r="Z280" s="42"/>
      <c r="AA280" s="43">
        <f>G280-G260</f>
        <v>7.2079999999998563</v>
      </c>
      <c r="AB280" s="44"/>
      <c r="AC280" s="41">
        <f>G280/G260-1</f>
        <v>1.2839124417314052E-2</v>
      </c>
      <c r="AD280" s="42"/>
      <c r="AE280" s="45">
        <f>K280-K260</f>
        <v>-42.100438370368465</v>
      </c>
      <c r="AF280" s="46"/>
    </row>
    <row r="281" spans="2:32" ht="14.25" thickTop="1" thickBot="1" x14ac:dyDescent="0.25"/>
    <row r="282" spans="2:32" ht="19.5" customHeight="1" thickTop="1" thickBot="1" x14ac:dyDescent="0.25">
      <c r="B282" s="2" t="str">
        <f>$B$2</f>
        <v>Allgemeine Stromversorgung Deutschlands nach BDEW</v>
      </c>
      <c r="C282" s="3"/>
      <c r="D282" s="3"/>
      <c r="E282" s="4"/>
      <c r="F282" s="4"/>
      <c r="G282" s="3"/>
      <c r="H282" s="3"/>
      <c r="I282" s="4"/>
      <c r="J282" s="4"/>
      <c r="K282" s="5"/>
      <c r="L282" s="6"/>
      <c r="V282" s="2" t="str">
        <f>B282</f>
        <v>Allgemeine Stromversorgung Deutschlands nach BDEW</v>
      </c>
      <c r="W282" s="3"/>
      <c r="X282" s="3"/>
      <c r="Y282" s="4"/>
      <c r="Z282" s="4"/>
      <c r="AA282" s="3"/>
      <c r="AB282" s="3"/>
      <c r="AC282" s="4"/>
      <c r="AD282" s="4"/>
      <c r="AE282" s="5"/>
      <c r="AF282" s="6"/>
    </row>
    <row r="283" spans="2:32" ht="14.25" customHeight="1" thickTop="1" x14ac:dyDescent="0.2">
      <c r="B283" s="55">
        <v>2018</v>
      </c>
      <c r="C283" s="7" t="str">
        <f>$C$3</f>
        <v>Netto-Engpassleistung</v>
      </c>
      <c r="D283" s="8"/>
      <c r="E283" s="9"/>
      <c r="F283" s="10"/>
      <c r="G283" s="11" t="str">
        <f>$G$3</f>
        <v>Netto-Erzeugung</v>
      </c>
      <c r="H283" s="8"/>
      <c r="I283" s="9"/>
      <c r="J283" s="10"/>
      <c r="K283" s="12" t="str">
        <f>$K$3</f>
        <v>Auslastung</v>
      </c>
      <c r="L283" s="13"/>
      <c r="V283" s="53" t="str">
        <f>"Veränderung "&amp;B283&amp;" - "&amp;B263</f>
        <v>Veränderung 2018 - 2017</v>
      </c>
      <c r="W283" s="7" t="str">
        <f>C283</f>
        <v>Netto-Engpassleistung</v>
      </c>
      <c r="X283" s="8"/>
      <c r="Y283" s="9"/>
      <c r="Z283" s="10"/>
      <c r="AA283" s="11" t="str">
        <f>G283</f>
        <v>Netto-Erzeugung</v>
      </c>
      <c r="AB283" s="8"/>
      <c r="AC283" s="9"/>
      <c r="AD283" s="10"/>
      <c r="AE283" s="12" t="str">
        <f>K283</f>
        <v>Auslastung</v>
      </c>
      <c r="AF283" s="13"/>
    </row>
    <row r="284" spans="2:32" ht="14.25" customHeight="1" thickBot="1" x14ac:dyDescent="0.25">
      <c r="B284" s="56"/>
      <c r="C284" s="14" t="str">
        <f>$C$4</f>
        <v>absolut</v>
      </c>
      <c r="D284" s="15"/>
      <c r="E284" s="16" t="str">
        <f>$E$4</f>
        <v>anteilig</v>
      </c>
      <c r="F284" s="17"/>
      <c r="G284" s="18" t="str">
        <f>$G$4</f>
        <v>absolut</v>
      </c>
      <c r="H284" s="15"/>
      <c r="I284" s="19" t="str">
        <f>$I$4</f>
        <v>anteilig</v>
      </c>
      <c r="J284" s="20"/>
      <c r="K284" s="21" t="str">
        <f>$K$4</f>
        <v>einzeln</v>
      </c>
      <c r="L284" s="22" t="str">
        <f>$L$4</f>
        <v>gesamt</v>
      </c>
      <c r="V284" s="54"/>
      <c r="W284" s="14" t="str">
        <f>C284</f>
        <v>absolut</v>
      </c>
      <c r="X284" s="15"/>
      <c r="Y284" s="16" t="str">
        <f>E284</f>
        <v>anteilig</v>
      </c>
      <c r="Z284" s="17"/>
      <c r="AA284" s="18" t="str">
        <f>G284</f>
        <v>absolut</v>
      </c>
      <c r="AB284" s="15"/>
      <c r="AC284" s="19" t="str">
        <f>I284</f>
        <v>anteilig</v>
      </c>
      <c r="AD284" s="20"/>
      <c r="AE284" s="21" t="str">
        <f>K284</f>
        <v>einzeln</v>
      </c>
      <c r="AF284" s="22" t="str">
        <f>L284</f>
        <v>gesamt</v>
      </c>
    </row>
    <row r="285" spans="2:32" ht="14.25" customHeight="1" thickTop="1" x14ac:dyDescent="0.2">
      <c r="B285" s="62" t="str">
        <f>$B$5</f>
        <v>Kernenergie</v>
      </c>
      <c r="C285" s="23">
        <v>9.5150000000000006</v>
      </c>
      <c r="D285" s="63">
        <f>SUM(C285:C290)</f>
        <v>85.858000000000004</v>
      </c>
      <c r="E285" s="64">
        <f>C285/C$280</f>
        <v>4.6400374519050262E-2</v>
      </c>
      <c r="F285" s="65">
        <f>SUM(E285:E290)</f>
        <v>0.41869084135119461</v>
      </c>
      <c r="G285" s="24">
        <v>71.855999999999995</v>
      </c>
      <c r="H285" s="66">
        <f>SUM(G285:G290)</f>
        <v>337.46600000000001</v>
      </c>
      <c r="I285" s="64">
        <f>G285/G$280</f>
        <v>0.12636977086509904</v>
      </c>
      <c r="J285" s="65">
        <f>SUM(I285:I290)</f>
        <v>0.59348559751115426</v>
      </c>
      <c r="K285" s="25">
        <f>G285/C285*1000</f>
        <v>7551.8654755648959</v>
      </c>
      <c r="L285" s="67">
        <f>H285/D285*1000</f>
        <v>3930.513172913415</v>
      </c>
      <c r="V285" s="62" t="str">
        <f>B285</f>
        <v>Kernenergie</v>
      </c>
      <c r="W285" s="23">
        <f>C285-C265</f>
        <v>-1.2839999999999989</v>
      </c>
      <c r="X285" s="63">
        <f>D285-D265</f>
        <v>-1.9959999999999951</v>
      </c>
      <c r="Y285" s="64">
        <f>E285-E265</f>
        <v>-6.26149037125176E-3</v>
      </c>
      <c r="Z285" s="65">
        <f>F285-F265</f>
        <v>-9.7335940662137688E-3</v>
      </c>
      <c r="AA285" s="24">
        <f>G285-G265</f>
        <v>-0.27900000000001057</v>
      </c>
      <c r="AB285" s="66">
        <f>H285-H265</f>
        <v>-16.564999999999941</v>
      </c>
      <c r="AC285" s="64">
        <f>I285-I265</f>
        <v>-4.9066419048324206E-4</v>
      </c>
      <c r="AD285" s="65">
        <f>J285-J265</f>
        <v>-2.9132087151808927E-2</v>
      </c>
      <c r="AE285" s="25">
        <f>K285-K265</f>
        <v>872.08031027181278</v>
      </c>
      <c r="AF285" s="67">
        <f>L285-L265</f>
        <v>-99.252119503548784</v>
      </c>
    </row>
    <row r="286" spans="2:32" ht="14.25" customHeight="1" x14ac:dyDescent="0.2">
      <c r="B286" s="51" t="str">
        <f>$B$6</f>
        <v>Braunkohle</v>
      </c>
      <c r="C286" s="26">
        <v>20.327000000000002</v>
      </c>
      <c r="D286" s="68"/>
      <c r="E286" s="69">
        <f>C286/C$280</f>
        <v>9.912563456108614E-2</v>
      </c>
      <c r="F286" s="70"/>
      <c r="G286" s="27">
        <v>132.267</v>
      </c>
      <c r="H286" s="71"/>
      <c r="I286" s="69">
        <f>G286/G$280</f>
        <v>0.23261175800231093</v>
      </c>
      <c r="J286" s="70"/>
      <c r="K286" s="28">
        <f>G286/C286*1000</f>
        <v>6506.9611846312782</v>
      </c>
      <c r="L286" s="72"/>
      <c r="V286" s="51" t="str">
        <f>B286</f>
        <v>Braunkohle</v>
      </c>
      <c r="W286" s="26">
        <f>C286-C266</f>
        <v>0</v>
      </c>
      <c r="X286" s="68">
        <f>D286</f>
        <v>0</v>
      </c>
      <c r="Y286" s="69">
        <f>E286-E266</f>
        <v>0</v>
      </c>
      <c r="Z286" s="70">
        <f>F286</f>
        <v>0</v>
      </c>
      <c r="AA286" s="27">
        <f>G286-G266</f>
        <v>-1.6779999999999973</v>
      </c>
      <c r="AB286" s="71">
        <f>H286</f>
        <v>0</v>
      </c>
      <c r="AC286" s="69">
        <f>I286-I266</f>
        <v>-2.9510197549492689E-3</v>
      </c>
      <c r="AD286" s="70">
        <f>J286</f>
        <v>0</v>
      </c>
      <c r="AE286" s="28">
        <f>K286-K266</f>
        <v>-82.550302553253459</v>
      </c>
      <c r="AF286" s="72">
        <f>L286</f>
        <v>0</v>
      </c>
    </row>
    <row r="287" spans="2:32" ht="14.25" customHeight="1" x14ac:dyDescent="0.2">
      <c r="B287" s="51" t="str">
        <f>$B$7</f>
        <v>Steinkohle</v>
      </c>
      <c r="C287" s="26">
        <v>23.815999999999999</v>
      </c>
      <c r="D287" s="68"/>
      <c r="E287" s="69">
        <f>C287/C$280</f>
        <v>0.1161399179764268</v>
      </c>
      <c r="F287" s="70"/>
      <c r="G287" s="27">
        <v>72.311999999999998</v>
      </c>
      <c r="H287" s="71"/>
      <c r="I287" s="69">
        <f>G287/G$280</f>
        <v>0.12717171663879204</v>
      </c>
      <c r="J287" s="70"/>
      <c r="K287" s="28">
        <f>G287/C287*1000</f>
        <v>3036.2781323480012</v>
      </c>
      <c r="L287" s="72"/>
      <c r="V287" s="51" t="str">
        <f>B287</f>
        <v>Steinkohle</v>
      </c>
      <c r="W287" s="26">
        <f>C287-C267</f>
        <v>-0.87900000000000134</v>
      </c>
      <c r="X287" s="68">
        <f>D287</f>
        <v>0</v>
      </c>
      <c r="Y287" s="69">
        <f>E287-E267</f>
        <v>-4.2864875672354308E-3</v>
      </c>
      <c r="Z287" s="70">
        <f>F287</f>
        <v>0</v>
      </c>
      <c r="AA287" s="27">
        <f>G287-G267</f>
        <v>-9.421999999999997</v>
      </c>
      <c r="AB287" s="71">
        <f>H287</f>
        <v>0</v>
      </c>
      <c r="AC287" s="69">
        <f>I287-I267</f>
        <v>-1.6570028683630639E-2</v>
      </c>
      <c r="AD287" s="70">
        <f>J287</f>
        <v>0</v>
      </c>
      <c r="AE287" s="28">
        <f>K287-K267</f>
        <v>-273.46068117700361</v>
      </c>
      <c r="AF287" s="72">
        <f>L287</f>
        <v>0</v>
      </c>
    </row>
    <row r="288" spans="2:32" ht="14.25" customHeight="1" x14ac:dyDescent="0.2">
      <c r="B288" s="51" t="str">
        <f>$B$8</f>
        <v>Erdgas</v>
      </c>
      <c r="C288" s="26">
        <v>24.605</v>
      </c>
      <c r="D288" s="68"/>
      <c r="E288" s="69">
        <f>C288/C$280</f>
        <v>0.11998751603165861</v>
      </c>
      <c r="F288" s="70"/>
      <c r="G288" s="27">
        <v>53.351999999999997</v>
      </c>
      <c r="H288" s="71"/>
      <c r="I288" s="69">
        <f>G288/G$280</f>
        <v>9.382765552208254E-2</v>
      </c>
      <c r="J288" s="70"/>
      <c r="K288" s="28">
        <f>G288/C288*1000</f>
        <v>2168.3397683397684</v>
      </c>
      <c r="L288" s="72"/>
      <c r="V288" s="51" t="str">
        <f>B288</f>
        <v>Erdgas</v>
      </c>
      <c r="W288" s="26">
        <f>C288-C268</f>
        <v>0.16700000000000159</v>
      </c>
      <c r="X288" s="68">
        <f>D288</f>
        <v>0</v>
      </c>
      <c r="Y288" s="69">
        <f>E288-E268</f>
        <v>8.1438387227340814E-4</v>
      </c>
      <c r="Z288" s="70">
        <f>F288</f>
        <v>0</v>
      </c>
      <c r="AA288" s="27">
        <f>G288-G268</f>
        <v>-4.6410000000000053</v>
      </c>
      <c r="AB288" s="71">
        <f>H288</f>
        <v>0</v>
      </c>
      <c r="AC288" s="69">
        <f>I288-I268</f>
        <v>-8.1619086309414057E-3</v>
      </c>
      <c r="AD288" s="70">
        <f>J288</f>
        <v>0</v>
      </c>
      <c r="AE288" s="28">
        <f>K288-K268</f>
        <v>-204.72676738328619</v>
      </c>
      <c r="AF288" s="72">
        <f>L288</f>
        <v>0</v>
      </c>
    </row>
    <row r="289" spans="2:32" ht="14.25" customHeight="1" x14ac:dyDescent="0.2">
      <c r="B289" s="51" t="s">
        <v>28</v>
      </c>
      <c r="C289" s="26">
        <v>4.2450000000000001</v>
      </c>
      <c r="D289" s="68"/>
      <c r="E289" s="69">
        <f>C289/C$280</f>
        <v>2.0700955316171134E-2</v>
      </c>
      <c r="F289" s="70"/>
      <c r="G289" s="27">
        <v>0.96799999999999997</v>
      </c>
      <c r="H289" s="71"/>
      <c r="I289" s="69">
        <f>G289/G$280</f>
        <v>1.7023761160851684E-3</v>
      </c>
      <c r="J289" s="70"/>
      <c r="K289" s="73">
        <f>(G289+G290)/C289*1000</f>
        <v>1808.9517078916374</v>
      </c>
      <c r="L289" s="72"/>
      <c r="V289" s="51" t="str">
        <f>B289</f>
        <v>Mineralöl</v>
      </c>
      <c r="W289" s="26">
        <f>C289-C269</f>
        <v>0</v>
      </c>
      <c r="X289" s="68">
        <f>D289</f>
        <v>0</v>
      </c>
      <c r="Y289" s="69">
        <f>E289-E269</f>
        <v>0</v>
      </c>
      <c r="Z289" s="70">
        <f>F289</f>
        <v>0</v>
      </c>
      <c r="AA289" s="27">
        <f>G289-G269</f>
        <v>-0.25900000000000012</v>
      </c>
      <c r="AB289" s="71">
        <f>H289</f>
        <v>0</v>
      </c>
      <c r="AC289" s="69">
        <f>I289-I269</f>
        <v>-4.5549113023353178E-4</v>
      </c>
      <c r="AD289" s="70">
        <f>J289</f>
        <v>0</v>
      </c>
      <c r="AE289" s="28">
        <f>K289-K269</f>
        <v>-128.38633686690218</v>
      </c>
      <c r="AF289" s="72">
        <f>L289</f>
        <v>0</v>
      </c>
    </row>
    <row r="290" spans="2:32" ht="14.25" customHeight="1" x14ac:dyDescent="0.2">
      <c r="B290" s="74" t="str">
        <f>$B$10</f>
        <v>sonstige</v>
      </c>
      <c r="C290" s="29">
        <v>3.35</v>
      </c>
      <c r="D290" s="75"/>
      <c r="E290" s="76">
        <f>C290/C$280</f>
        <v>1.633644294680172E-2</v>
      </c>
      <c r="F290" s="77"/>
      <c r="G290" s="30">
        <v>6.7110000000000003</v>
      </c>
      <c r="H290" s="78"/>
      <c r="I290" s="76">
        <f>G290/G$280</f>
        <v>1.1802320366784675E-2</v>
      </c>
      <c r="J290" s="77"/>
      <c r="K290" s="79"/>
      <c r="L290" s="80"/>
      <c r="V290" s="74" t="str">
        <f>B290</f>
        <v>sonstige</v>
      </c>
      <c r="W290" s="29">
        <f>C290-C270</f>
        <v>0</v>
      </c>
      <c r="X290" s="75">
        <f>D290</f>
        <v>0</v>
      </c>
      <c r="Y290" s="76">
        <f>E290-E270</f>
        <v>0</v>
      </c>
      <c r="Z290" s="77">
        <f>F290</f>
        <v>0</v>
      </c>
      <c r="AA290" s="30">
        <f>G290-G270</f>
        <v>-0.28599999999999959</v>
      </c>
      <c r="AB290" s="78">
        <f>H290</f>
        <v>0</v>
      </c>
      <c r="AC290" s="76">
        <f>I290-I270</f>
        <v>-5.0297476157061712E-4</v>
      </c>
      <c r="AD290" s="77">
        <f>J290</f>
        <v>0</v>
      </c>
      <c r="AE290" s="31">
        <f>K290-K270</f>
        <v>0</v>
      </c>
      <c r="AF290" s="80">
        <f>L290</f>
        <v>0</v>
      </c>
    </row>
    <row r="291" spans="2:32" ht="14.25" customHeight="1" x14ac:dyDescent="0.2">
      <c r="B291" s="32" t="str">
        <f>$B$11</f>
        <v>Pumpspeicher</v>
      </c>
      <c r="C291" s="81">
        <v>5.71</v>
      </c>
      <c r="D291" s="82"/>
      <c r="E291" s="83">
        <f>C291/C$280</f>
        <v>2.7845101261563528E-2</v>
      </c>
      <c r="F291" s="84"/>
      <c r="G291" s="85">
        <v>6.1959999999999997</v>
      </c>
      <c r="H291" s="82"/>
      <c r="I291" s="86">
        <f>G291/G$280</f>
        <v>1.0896614065355066E-2</v>
      </c>
      <c r="J291" s="87"/>
      <c r="K291" s="88">
        <f>G291/C291*1000</f>
        <v>1085.1138353765323</v>
      </c>
      <c r="L291" s="89"/>
      <c r="V291" s="32" t="str">
        <f>B291</f>
        <v>Pumpspeicher</v>
      </c>
      <c r="W291" s="81">
        <f>C291-C271</f>
        <v>0</v>
      </c>
      <c r="X291" s="82"/>
      <c r="Y291" s="83">
        <f>E291-E271</f>
        <v>0</v>
      </c>
      <c r="Z291" s="84"/>
      <c r="AA291" s="90">
        <f>G291-G271</f>
        <v>0.36099999999999977</v>
      </c>
      <c r="AB291" s="91">
        <f>H291-H271</f>
        <v>0</v>
      </c>
      <c r="AC291" s="83">
        <f>I291-I271</f>
        <v>6.3487373750696803E-4</v>
      </c>
      <c r="AD291" s="92">
        <f>J291-J271</f>
        <v>0</v>
      </c>
      <c r="AE291" s="88">
        <f>K291-K271</f>
        <v>63.222416812609367</v>
      </c>
      <c r="AF291" s="89"/>
    </row>
    <row r="292" spans="2:32" ht="14.25" customHeight="1" x14ac:dyDescent="0.2">
      <c r="B292" s="33" t="str">
        <f>$B$12</f>
        <v>Pumparbeit</v>
      </c>
      <c r="C292" s="93"/>
      <c r="D292" s="49" t="s">
        <v>25</v>
      </c>
      <c r="E292" s="94">
        <f>G291/G292</f>
        <v>0.74408550498378767</v>
      </c>
      <c r="F292" s="95"/>
      <c r="G292" s="96">
        <v>8.327</v>
      </c>
      <c r="H292" s="97"/>
      <c r="I292" s="98">
        <f>G292/G$280</f>
        <v>1.4644303634959915E-2</v>
      </c>
      <c r="J292" s="99"/>
      <c r="K292" s="100" t="s">
        <v>0</v>
      </c>
      <c r="L292" s="101"/>
      <c r="V292" s="33" t="str">
        <f>B292</f>
        <v>Pumparbeit</v>
      </c>
      <c r="W292" s="93"/>
      <c r="X292" s="47" t="str">
        <f>D292</f>
        <v>η =</v>
      </c>
      <c r="Y292" s="94">
        <f>E292-E272</f>
        <v>3.7497953518541793E-2</v>
      </c>
      <c r="Z292" s="95"/>
      <c r="AA292" s="102">
        <f>G292-G272</f>
        <v>6.9000000000000838E-2</v>
      </c>
      <c r="AB292" s="103">
        <f>H292-H272</f>
        <v>0</v>
      </c>
      <c r="AC292" s="104">
        <f>I292-I272</f>
        <v>1.2134705786144388E-4</v>
      </c>
      <c r="AD292" s="105">
        <f>J292-J272</f>
        <v>0</v>
      </c>
      <c r="AE292" s="100" t="str">
        <f>K292</f>
        <v>–</v>
      </c>
      <c r="AF292" s="101"/>
    </row>
    <row r="293" spans="2:32" ht="14.25" customHeight="1" x14ac:dyDescent="0.2">
      <c r="B293" s="34" t="str">
        <f>$B$13</f>
        <v>Wasserkraft</v>
      </c>
      <c r="C293" s="106">
        <v>5.5750000000000002</v>
      </c>
      <c r="D293" s="107">
        <f>SUM(C293:C298)</f>
        <v>117.38300000000001</v>
      </c>
      <c r="E293" s="108">
        <f>C293/C$280</f>
        <v>2.7186766993558088E-2</v>
      </c>
      <c r="F293" s="109">
        <f>SUM(E293:E298)</f>
        <v>0.57242408430579894</v>
      </c>
      <c r="G293" s="110">
        <v>16.3</v>
      </c>
      <c r="H293" s="111">
        <f>SUM(G293:G298)</f>
        <v>216.13499999999996</v>
      </c>
      <c r="I293" s="108">
        <f>G293/G$280</f>
        <v>2.8666044103500255E-2</v>
      </c>
      <c r="J293" s="109">
        <f>SUM(I293:I298)</f>
        <v>0.38010646885337596</v>
      </c>
      <c r="K293" s="112">
        <f>G293/C293*1000</f>
        <v>2923.7668161434976</v>
      </c>
      <c r="L293" s="113">
        <f>H293/D293*1000</f>
        <v>1841.2802535290455</v>
      </c>
      <c r="V293" s="34" t="str">
        <f>B293</f>
        <v>Wasserkraft</v>
      </c>
      <c r="W293" s="106">
        <f>C293-C273</f>
        <v>4.9999999999998934E-3</v>
      </c>
      <c r="X293" s="107">
        <f>D293-D273</f>
        <v>5.8840000000000146</v>
      </c>
      <c r="Y293" s="108">
        <f>E293-E273</f>
        <v>2.4382750666868819E-5</v>
      </c>
      <c r="Z293" s="109">
        <f>F293-F273</f>
        <v>2.8693620984770574E-2</v>
      </c>
      <c r="AA293" s="110">
        <f>G293-G273</f>
        <v>-3.5219999999999985</v>
      </c>
      <c r="AB293" s="111">
        <f>H293-H273</f>
        <v>7.3839999999999861</v>
      </c>
      <c r="AC293" s="108">
        <f>I293-I273</f>
        <v>-6.1939759099710369E-3</v>
      </c>
      <c r="AD293" s="109">
        <f>J293-J273</f>
        <v>1.2985893844186969E-2</v>
      </c>
      <c r="AE293" s="112">
        <f>K293-K273</f>
        <v>-634.94054471826166</v>
      </c>
      <c r="AF293" s="113">
        <f>L293-L273</f>
        <v>-30.942815736149669</v>
      </c>
    </row>
    <row r="294" spans="2:32" ht="14.25" customHeight="1" x14ac:dyDescent="0.2">
      <c r="B294" s="35" t="str">
        <f>$B$134</f>
        <v>Wind an Land</v>
      </c>
      <c r="C294" s="114">
        <v>58.84</v>
      </c>
      <c r="D294" s="115"/>
      <c r="E294" s="116">
        <f>C294/C$280</f>
        <v>0.28693620984770546</v>
      </c>
      <c r="F294" s="117"/>
      <c r="G294" s="118">
        <v>109.82</v>
      </c>
      <c r="H294" s="119"/>
      <c r="I294" s="120">
        <f>G294/G$280</f>
        <v>0.19313527383106735</v>
      </c>
      <c r="J294" s="117"/>
      <c r="K294" s="121">
        <f>G294/C294*1000</f>
        <v>1866.4174031271241</v>
      </c>
      <c r="L294" s="122"/>
      <c r="V294" s="35" t="str">
        <f>B294</f>
        <v>Wind an Land</v>
      </c>
      <c r="W294" s="123">
        <f>C294-C274</f>
        <v>8.1953516459238571</v>
      </c>
      <c r="X294" s="115">
        <f>D294</f>
        <v>0</v>
      </c>
      <c r="Y294" s="116">
        <f>E294-E274</f>
        <v>3.996504316197394E-2</v>
      </c>
      <c r="Z294" s="117">
        <f>F294</f>
        <v>0</v>
      </c>
      <c r="AA294" s="124">
        <f>G294-G274</f>
        <v>22.966343587477212</v>
      </c>
      <c r="AB294" s="119">
        <f>H294</f>
        <v>0</v>
      </c>
      <c r="AC294" s="116">
        <f>I294-I274</f>
        <v>4.0389829335874983E-2</v>
      </c>
      <c r="AD294" s="117">
        <f>J294</f>
        <v>0</v>
      </c>
      <c r="AE294" s="125">
        <f>K294-K274</f>
        <v>151.45522577532211</v>
      </c>
      <c r="AF294" s="122">
        <f>L294</f>
        <v>0</v>
      </c>
    </row>
    <row r="295" spans="2:32" ht="14.25" customHeight="1" x14ac:dyDescent="0.2">
      <c r="B295" s="35" t="str">
        <f>$B$135</f>
        <v>Wind auf See</v>
      </c>
      <c r="C295" s="126"/>
      <c r="D295" s="115"/>
      <c r="E295" s="116">
        <f>C295/C$280</f>
        <v>0</v>
      </c>
      <c r="F295" s="117"/>
      <c r="G295" s="127"/>
      <c r="H295" s="119"/>
      <c r="I295" s="120">
        <f>G295/G$280</f>
        <v>0</v>
      </c>
      <c r="J295" s="117"/>
      <c r="K295" s="121" t="e">
        <f>G295/C295*1000</f>
        <v>#DIV/0!</v>
      </c>
      <c r="L295" s="122"/>
      <c r="V295" s="35" t="str">
        <f>B295</f>
        <v>Wind auf See</v>
      </c>
      <c r="W295" s="123">
        <f>C295-C275</f>
        <v>-5.0353516459238525</v>
      </c>
      <c r="X295" s="115">
        <f>D295</f>
        <v>0</v>
      </c>
      <c r="Y295" s="116">
        <f>E295-E275</f>
        <v>-2.455514474051318E-2</v>
      </c>
      <c r="Z295" s="117">
        <f>F295</f>
        <v>0</v>
      </c>
      <c r="AA295" s="124">
        <f>G295-G275</f>
        <v>-17.74934358747721</v>
      </c>
      <c r="AB295" s="119">
        <f>H295</f>
        <v>0</v>
      </c>
      <c r="AC295" s="116">
        <f>I295-I275</f>
        <v>-3.1214936569742401E-2</v>
      </c>
      <c r="AD295" s="117">
        <f>J295</f>
        <v>0</v>
      </c>
      <c r="AE295" s="125" t="e">
        <f>K295-K275</f>
        <v>#DIV/0!</v>
      </c>
      <c r="AF295" s="122">
        <f>L295</f>
        <v>0</v>
      </c>
    </row>
    <row r="296" spans="2:32" ht="14.25" customHeight="1" x14ac:dyDescent="0.2">
      <c r="B296" s="35" t="str">
        <f>$B$15</f>
        <v>Biomasse</v>
      </c>
      <c r="C296" s="128">
        <v>7</v>
      </c>
      <c r="D296" s="115"/>
      <c r="E296" s="120">
        <f>C296/C$280</f>
        <v>3.4135850933615534E-2</v>
      </c>
      <c r="F296" s="117"/>
      <c r="G296" s="52">
        <v>43.67</v>
      </c>
      <c r="H296" s="119"/>
      <c r="I296" s="120">
        <f>G296/G$280</f>
        <v>7.6800377055205898E-2</v>
      </c>
      <c r="J296" s="117"/>
      <c r="K296" s="125">
        <f>G296/C296*1000</f>
        <v>6238.5714285714284</v>
      </c>
      <c r="L296" s="122"/>
      <c r="V296" s="35" t="str">
        <f>B296</f>
        <v>Biomasse</v>
      </c>
      <c r="W296" s="128">
        <f>C296-C276</f>
        <v>8.9999999999999858E-2</v>
      </c>
      <c r="X296" s="115">
        <f>D296</f>
        <v>0</v>
      </c>
      <c r="Y296" s="120">
        <f>E296-E276</f>
        <v>4.3888951200362486E-4</v>
      </c>
      <c r="Z296" s="117">
        <f>F296</f>
        <v>0</v>
      </c>
      <c r="AA296" s="52">
        <f>G296-G276</f>
        <v>-0.61499999999999488</v>
      </c>
      <c r="AB296" s="119">
        <f>H296</f>
        <v>0</v>
      </c>
      <c r="AC296" s="120">
        <f>I296-I276</f>
        <v>-1.0815716026780636E-3</v>
      </c>
      <c r="AD296" s="117">
        <f>J296</f>
        <v>0</v>
      </c>
      <c r="AE296" s="125">
        <f>K296-K276</f>
        <v>-170.2563572462268</v>
      </c>
      <c r="AF296" s="122">
        <f>L296</f>
        <v>0</v>
      </c>
    </row>
    <row r="297" spans="2:32" ht="14.25" customHeight="1" x14ac:dyDescent="0.2">
      <c r="B297" s="35" t="str">
        <f>$B$16</f>
        <v>Fotovoltaik</v>
      </c>
      <c r="C297" s="128">
        <v>45.929000000000002</v>
      </c>
      <c r="D297" s="115"/>
      <c r="E297" s="120">
        <f>C297/C$280</f>
        <v>0.22397507107571829</v>
      </c>
      <c r="F297" s="117"/>
      <c r="G297" s="52">
        <v>46.162999999999997</v>
      </c>
      <c r="H297" s="119"/>
      <c r="I297" s="120">
        <f>G297/G$280</f>
        <v>8.1184699015330195E-2</v>
      </c>
      <c r="J297" s="117"/>
      <c r="K297" s="125">
        <f>G297/C297*1000</f>
        <v>1005.0948202660628</v>
      </c>
      <c r="L297" s="122"/>
      <c r="V297" s="35" t="str">
        <f>B297</f>
        <v>Fotovoltaik</v>
      </c>
      <c r="W297" s="128">
        <f>C297-C277</f>
        <v>2.6290000000000049</v>
      </c>
      <c r="X297" s="115">
        <f>D297</f>
        <v>0</v>
      </c>
      <c r="Y297" s="120">
        <f>E297-E277</f>
        <v>1.2820450300639358E-2</v>
      </c>
      <c r="Z297" s="117">
        <f>F297</f>
        <v>0</v>
      </c>
      <c r="AA297" s="52">
        <f>G297-G277</f>
        <v>6.2679999999999936</v>
      </c>
      <c r="AB297" s="119">
        <f>H297</f>
        <v>0</v>
      </c>
      <c r="AC297" s="120">
        <f>I297-I277</f>
        <v>1.1023237082253959E-2</v>
      </c>
      <c r="AD297" s="117">
        <f>J297</f>
        <v>0</v>
      </c>
      <c r="AE297" s="125">
        <f>K297-K277</f>
        <v>83.732233660981819</v>
      </c>
      <c r="AF297" s="129">
        <f>L297</f>
        <v>0</v>
      </c>
    </row>
    <row r="298" spans="2:32" ht="14.25" customHeight="1" thickBot="1" x14ac:dyDescent="0.25">
      <c r="B298" s="36" t="str">
        <f>$B$18</f>
        <v>Geothermie</v>
      </c>
      <c r="C298" s="130">
        <v>3.9E-2</v>
      </c>
      <c r="D298" s="131"/>
      <c r="E298" s="132">
        <f>C298/C$280</f>
        <v>1.9018545520157226E-4</v>
      </c>
      <c r="F298" s="133"/>
      <c r="G298" s="134">
        <v>0.182</v>
      </c>
      <c r="H298" s="135"/>
      <c r="I298" s="132">
        <f>G298/G$280</f>
        <v>3.2007484827221142E-4</v>
      </c>
      <c r="J298" s="133"/>
      <c r="K298" s="50">
        <f>G298/C298*1000</f>
        <v>4666.666666666667</v>
      </c>
      <c r="L298" s="136"/>
      <c r="V298" s="36" t="str">
        <f>B298</f>
        <v>Geothermie</v>
      </c>
      <c r="W298" s="130">
        <f>C298-C278</f>
        <v>0</v>
      </c>
      <c r="X298" s="131">
        <f>D298</f>
        <v>0</v>
      </c>
      <c r="Y298" s="132">
        <f>E298-E278</f>
        <v>0</v>
      </c>
      <c r="Z298" s="133">
        <f>F298</f>
        <v>0</v>
      </c>
      <c r="AA298" s="134">
        <f>G298-G278</f>
        <v>3.6000000000000004E-2</v>
      </c>
      <c r="AB298" s="135">
        <f>H298</f>
        <v>0</v>
      </c>
      <c r="AC298" s="137">
        <f>I298</f>
        <v>3.2007484827221142E-4</v>
      </c>
      <c r="AD298" s="133">
        <f>J298</f>
        <v>0</v>
      </c>
      <c r="AE298" s="50">
        <f>K298</f>
        <v>4666.666666666667</v>
      </c>
      <c r="AF298" s="138">
        <f>L298</f>
        <v>0</v>
      </c>
    </row>
    <row r="299" spans="2:32" ht="14.25" customHeight="1" thickBot="1" x14ac:dyDescent="0.25">
      <c r="B299" s="37" t="str">
        <f>$B$19</f>
        <v>Netzverluste</v>
      </c>
      <c r="C299" s="139" t="s">
        <v>0</v>
      </c>
      <c r="D299" s="140" t="s">
        <v>0</v>
      </c>
      <c r="E299" s="141" t="s">
        <v>0</v>
      </c>
      <c r="F299" s="142" t="s">
        <v>0</v>
      </c>
      <c r="G299" s="143">
        <v>26.655000000000001</v>
      </c>
      <c r="H299" s="144"/>
      <c r="I299" s="145">
        <f>G299/G300</f>
        <v>4.7615474895363857E-2</v>
      </c>
      <c r="J299" s="146"/>
      <c r="K299" s="147" t="s">
        <v>0</v>
      </c>
      <c r="L299" s="148"/>
      <c r="V299" s="37" t="str">
        <f>B299</f>
        <v>Netzverluste</v>
      </c>
      <c r="W299" s="139" t="str">
        <f>C299</f>
        <v>–</v>
      </c>
      <c r="X299" s="140" t="str">
        <f>D299</f>
        <v>–</v>
      </c>
      <c r="Y299" s="141" t="str">
        <f>E299</f>
        <v>–</v>
      </c>
      <c r="Z299" s="142" t="str">
        <f>F299</f>
        <v>–</v>
      </c>
      <c r="AA299" s="143">
        <f>G299-G279</f>
        <v>-0.39899999999999736</v>
      </c>
      <c r="AB299" s="144"/>
      <c r="AC299" s="145">
        <f>I299-I279</f>
        <v>3.6876295603373299E-5</v>
      </c>
      <c r="AD299" s="146"/>
      <c r="AE299" s="149" t="str">
        <f>K299</f>
        <v>–</v>
      </c>
      <c r="AF299" s="150"/>
    </row>
    <row r="300" spans="2:32" ht="14.25" customHeight="1" thickTop="1" thickBot="1" x14ac:dyDescent="0.25">
      <c r="B300" s="38" t="str">
        <f>$B$20</f>
        <v>Gesamt</v>
      </c>
      <c r="C300" s="39">
        <f>SUM(C285:C298)</f>
        <v>208.95099999999999</v>
      </c>
      <c r="D300" s="40"/>
      <c r="E300" s="41">
        <f>SUM(E285:E291,E293:E298)</f>
        <v>1.018960026918557</v>
      </c>
      <c r="F300" s="42"/>
      <c r="G300" s="43">
        <f>SUM(G285:G291,G293:G298)</f>
        <v>559.79700000000003</v>
      </c>
      <c r="H300" s="44"/>
      <c r="I300" s="41">
        <f>J285+I291+J293</f>
        <v>0.98448868042988524</v>
      </c>
      <c r="J300" s="42"/>
      <c r="K300" s="45">
        <f>G300/C300*1000</f>
        <v>2679.0826557422552</v>
      </c>
      <c r="L300" s="46"/>
      <c r="V300" s="38" t="str">
        <f>B300</f>
        <v>Gesamt</v>
      </c>
      <c r="W300" s="39">
        <f>C300-C280</f>
        <v>3.8880000000000621</v>
      </c>
      <c r="X300" s="40"/>
      <c r="Y300" s="41">
        <f>E300-E280</f>
        <v>1.8960026918556583E-2</v>
      </c>
      <c r="Z300" s="42"/>
      <c r="AA300" s="43">
        <f>G300-G280</f>
        <v>-8.8199999999998226</v>
      </c>
      <c r="AB300" s="44"/>
      <c r="AC300" s="41">
        <f>G300/G280-1</f>
        <v>-1.5511319570114535E-2</v>
      </c>
      <c r="AD300" s="42"/>
      <c r="AE300" s="45">
        <f>K300-K280</f>
        <v>-93.806651446267551</v>
      </c>
      <c r="AF300" s="46"/>
    </row>
    <row r="301" spans="2:32" ht="13.5" thickTop="1" x14ac:dyDescent="0.2"/>
  </sheetData>
  <mergeCells count="202">
    <mergeCell ref="AF293:AF297"/>
    <mergeCell ref="AF285:AF290"/>
    <mergeCell ref="K289:K290"/>
    <mergeCell ref="D293:D298"/>
    <mergeCell ref="F293:F298"/>
    <mergeCell ref="H293:H298"/>
    <mergeCell ref="J293:J298"/>
    <mergeCell ref="L293:L298"/>
    <mergeCell ref="X293:X298"/>
    <mergeCell ref="Z293:Z298"/>
    <mergeCell ref="AB293:AB298"/>
    <mergeCell ref="X285:X290"/>
    <mergeCell ref="Z285:Z290"/>
    <mergeCell ref="C294:C295"/>
    <mergeCell ref="G294:G295"/>
    <mergeCell ref="AB285:AB290"/>
    <mergeCell ref="AD285:AD290"/>
    <mergeCell ref="AD293:AD298"/>
    <mergeCell ref="B283:B284"/>
    <mergeCell ref="V283:V284"/>
    <mergeCell ref="D285:D290"/>
    <mergeCell ref="F285:F290"/>
    <mergeCell ref="H285:H290"/>
    <mergeCell ref="J285:J290"/>
    <mergeCell ref="L285:L290"/>
    <mergeCell ref="AF273:AF277"/>
    <mergeCell ref="K269:K270"/>
    <mergeCell ref="L273:L278"/>
    <mergeCell ref="X265:X270"/>
    <mergeCell ref="Z265:Z270"/>
    <mergeCell ref="AB265:AB270"/>
    <mergeCell ref="AD265:AD270"/>
    <mergeCell ref="AF265:AF270"/>
    <mergeCell ref="D273:D278"/>
    <mergeCell ref="F273:F278"/>
    <mergeCell ref="H273:H278"/>
    <mergeCell ref="J273:J278"/>
    <mergeCell ref="X273:X278"/>
    <mergeCell ref="Z273:Z278"/>
    <mergeCell ref="AB273:AB278"/>
    <mergeCell ref="AD273:AD278"/>
    <mergeCell ref="D225:D230"/>
    <mergeCell ref="F225:F230"/>
    <mergeCell ref="H225:H230"/>
    <mergeCell ref="J225:J230"/>
    <mergeCell ref="B243:B244"/>
    <mergeCell ref="D245:D250"/>
    <mergeCell ref="F245:F250"/>
    <mergeCell ref="J153:J158"/>
    <mergeCell ref="L153:L157"/>
    <mergeCell ref="B263:B264"/>
    <mergeCell ref="V263:V264"/>
    <mergeCell ref="D265:D270"/>
    <mergeCell ref="F265:F270"/>
    <mergeCell ref="H265:H270"/>
    <mergeCell ref="J265:J270"/>
    <mergeCell ref="L265:L270"/>
    <mergeCell ref="L225:L230"/>
    <mergeCell ref="L133:L137"/>
    <mergeCell ref="B143:B144"/>
    <mergeCell ref="D145:D150"/>
    <mergeCell ref="F145:F150"/>
    <mergeCell ref="H145:H150"/>
    <mergeCell ref="J145:J150"/>
    <mergeCell ref="L145:L150"/>
    <mergeCell ref="B103:B104"/>
    <mergeCell ref="D105:D110"/>
    <mergeCell ref="F105:F110"/>
    <mergeCell ref="H105:H110"/>
    <mergeCell ref="J105:J110"/>
    <mergeCell ref="D133:D138"/>
    <mergeCell ref="F133:F138"/>
    <mergeCell ref="H133:H138"/>
    <mergeCell ref="J133:J138"/>
    <mergeCell ref="B123:B124"/>
    <mergeCell ref="D125:D130"/>
    <mergeCell ref="F125:F130"/>
    <mergeCell ref="H125:H130"/>
    <mergeCell ref="J125:J130"/>
    <mergeCell ref="L125:L130"/>
    <mergeCell ref="L105:L110"/>
    <mergeCell ref="L93:L98"/>
    <mergeCell ref="D113:D118"/>
    <mergeCell ref="F113:F118"/>
    <mergeCell ref="H113:H118"/>
    <mergeCell ref="J113:J118"/>
    <mergeCell ref="L113:L116"/>
    <mergeCell ref="D93:D98"/>
    <mergeCell ref="F93:F98"/>
    <mergeCell ref="H93:H98"/>
    <mergeCell ref="L53:L56"/>
    <mergeCell ref="B83:B84"/>
    <mergeCell ref="D85:D90"/>
    <mergeCell ref="F85:F90"/>
    <mergeCell ref="H85:H90"/>
    <mergeCell ref="J85:J90"/>
    <mergeCell ref="L85:L90"/>
    <mergeCell ref="B63:B64"/>
    <mergeCell ref="L73:L78"/>
    <mergeCell ref="D193:D198"/>
    <mergeCell ref="F193:F198"/>
    <mergeCell ref="D53:D58"/>
    <mergeCell ref="F53:F58"/>
    <mergeCell ref="H53:H58"/>
    <mergeCell ref="J53:J58"/>
    <mergeCell ref="J93:J98"/>
    <mergeCell ref="D153:D158"/>
    <mergeCell ref="F153:F158"/>
    <mergeCell ref="H153:H158"/>
    <mergeCell ref="H205:H210"/>
    <mergeCell ref="J205:J210"/>
    <mergeCell ref="D213:D218"/>
    <mergeCell ref="F213:F218"/>
    <mergeCell ref="H213:H218"/>
    <mergeCell ref="J213:J218"/>
    <mergeCell ref="B223:B224"/>
    <mergeCell ref="L205:L210"/>
    <mergeCell ref="L213:L216"/>
    <mergeCell ref="J193:J198"/>
    <mergeCell ref="H185:H190"/>
    <mergeCell ref="L185:L190"/>
    <mergeCell ref="J185:J190"/>
    <mergeCell ref="B203:B204"/>
    <mergeCell ref="D205:D210"/>
    <mergeCell ref="F205:F210"/>
    <mergeCell ref="D25:D30"/>
    <mergeCell ref="J25:J30"/>
    <mergeCell ref="L25:L30"/>
    <mergeCell ref="B43:B44"/>
    <mergeCell ref="D45:D50"/>
    <mergeCell ref="J45:J50"/>
    <mergeCell ref="L45:L50"/>
    <mergeCell ref="F33:F38"/>
    <mergeCell ref="H33:H38"/>
    <mergeCell ref="J33:J38"/>
    <mergeCell ref="L33:L36"/>
    <mergeCell ref="F45:F50"/>
    <mergeCell ref="H45:H50"/>
    <mergeCell ref="L173:L176"/>
    <mergeCell ref="L65:L70"/>
    <mergeCell ref="D73:D78"/>
    <mergeCell ref="F73:F78"/>
    <mergeCell ref="H73:H78"/>
    <mergeCell ref="J73:J78"/>
    <mergeCell ref="D65:D70"/>
    <mergeCell ref="F65:F70"/>
    <mergeCell ref="H65:H70"/>
    <mergeCell ref="J65:J70"/>
    <mergeCell ref="D185:D190"/>
    <mergeCell ref="F185:F190"/>
    <mergeCell ref="L13:L16"/>
    <mergeCell ref="H173:H178"/>
    <mergeCell ref="J173:J178"/>
    <mergeCell ref="B23:B24"/>
    <mergeCell ref="F25:F30"/>
    <mergeCell ref="H25:H30"/>
    <mergeCell ref="F13:F18"/>
    <mergeCell ref="H13:H18"/>
    <mergeCell ref="L5:L10"/>
    <mergeCell ref="D13:D18"/>
    <mergeCell ref="H193:H198"/>
    <mergeCell ref="L193:L196"/>
    <mergeCell ref="B163:B164"/>
    <mergeCell ref="D165:D170"/>
    <mergeCell ref="F165:F170"/>
    <mergeCell ref="H165:H170"/>
    <mergeCell ref="J165:J170"/>
    <mergeCell ref="L165:L170"/>
    <mergeCell ref="B3:B4"/>
    <mergeCell ref="D5:D10"/>
    <mergeCell ref="F5:F10"/>
    <mergeCell ref="H5:H10"/>
    <mergeCell ref="J5:J10"/>
    <mergeCell ref="B183:B184"/>
    <mergeCell ref="J13:J18"/>
    <mergeCell ref="D173:D178"/>
    <mergeCell ref="F173:F178"/>
    <mergeCell ref="D33:D38"/>
    <mergeCell ref="D253:D258"/>
    <mergeCell ref="F253:F258"/>
    <mergeCell ref="H253:H258"/>
    <mergeCell ref="J253:J258"/>
    <mergeCell ref="L253:L258"/>
    <mergeCell ref="L233:L238"/>
    <mergeCell ref="D233:D238"/>
    <mergeCell ref="F233:F238"/>
    <mergeCell ref="H233:H238"/>
    <mergeCell ref="J233:J238"/>
    <mergeCell ref="X253:X258"/>
    <mergeCell ref="Z253:Z258"/>
    <mergeCell ref="AB253:AB258"/>
    <mergeCell ref="AD253:AD258"/>
    <mergeCell ref="AF253:AF257"/>
    <mergeCell ref="H245:H250"/>
    <mergeCell ref="J245:J250"/>
    <mergeCell ref="L245:L250"/>
    <mergeCell ref="V243:V244"/>
    <mergeCell ref="X245:X250"/>
    <mergeCell ref="Z245:Z250"/>
    <mergeCell ref="AB245:AB250"/>
    <mergeCell ref="AD245:AD250"/>
    <mergeCell ref="AF245:AF250"/>
  </mergeCells>
  <conditionalFormatting sqref="W245:AF254 W260:AB260 AE260:AF260 W256:AF259 AD255:AF255 W255:AB255">
    <cfRule type="cellIs" dxfId="5" priority="6" operator="lessThan">
      <formula>0</formula>
    </cfRule>
  </conditionalFormatting>
  <conditionalFormatting sqref="AC255">
    <cfRule type="cellIs" dxfId="4" priority="5" operator="lessThan">
      <formula>0</formula>
    </cfRule>
  </conditionalFormatting>
  <conditionalFormatting sqref="W265:AF274 W280:AB280 AE280:AF280 W276:AF279 AD275:AF275 W275:AB275">
    <cfRule type="cellIs" dxfId="3" priority="4" operator="lessThan">
      <formula>0</formula>
    </cfRule>
  </conditionalFormatting>
  <conditionalFormatting sqref="AC275">
    <cfRule type="cellIs" dxfId="2" priority="3" operator="lessThan">
      <formula>0</formula>
    </cfRule>
  </conditionalFormatting>
  <conditionalFormatting sqref="W285:AF294 W300:AB300 AE300:AF300 W296:AF299 AD295:AF295 W295:AB295">
    <cfRule type="cellIs" dxfId="1" priority="2" operator="lessThan">
      <formula>0</formula>
    </cfRule>
  </conditionalFormatting>
  <conditionalFormatting sqref="AC295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P&amp;W (2)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B3718</dc:creator>
  <cp:lastModifiedBy>Stefan Fassbinder</cp:lastModifiedBy>
  <cp:lastPrinted>2015-11-11T11:42:48Z</cp:lastPrinted>
  <dcterms:created xsi:type="dcterms:W3CDTF">2008-10-15T07:33:24Z</dcterms:created>
  <dcterms:modified xsi:type="dcterms:W3CDTF">2019-06-28T12:12:58Z</dcterms:modified>
</cp:coreProperties>
</file>